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afe-my.sharepoint.com/personal/karaya_icafe_cr/Documents/BKKAraya/LIQUIDACIONES/KA - benenficio/"/>
    </mc:Choice>
  </mc:AlternateContent>
  <xr:revisionPtr revIDLastSave="171" documentId="8_{49235F53-22FF-490D-9DBC-EC3023B0C6CA}" xr6:coauthVersionLast="47" xr6:coauthVersionMax="47" xr10:uidLastSave="{EA9B3A1B-2361-427F-A010-11D0EF626EDE}"/>
  <workbookProtection workbookAlgorithmName="SHA-512" workbookHashValue="X6DvRvuV+9nDwOIeK+Lz2DJrIeeNz5YzEVeMHw9TqV0mKgk5qDBONPv9jmJn01R2aZpJDfc5j4jJDCbN9j2a7w==" workbookSaltValue="2kWPPxHz/JdIfZcZLJDEMQ==" workbookSpinCount="100000" lockStructure="1"/>
  <bookViews>
    <workbookView xWindow="-120" yWindow="-120" windowWidth="29040" windowHeight="15840" tabRatio="834" activeTab="9" xr2:uid="{00000000-000D-0000-FFFF-FFFF00000000}"/>
  </bookViews>
  <sheets>
    <sheet name="Instrucciones" sheetId="14" r:id="rId1"/>
    <sheet name="Café Fruta(1)" sheetId="5" r:id="rId2"/>
    <sheet name="Ventas Export.(2)" sheetId="4" r:id="rId3"/>
    <sheet name="Ventas Cons.Nac.(3)" sheetId="3" r:id="rId4"/>
    <sheet name="Gastos(4)" sheetId="2" r:id="rId5"/>
    <sheet name="Liq.Final" sheetId="9" r:id="rId6"/>
    <sheet name="Gastos - BELLOTA" sheetId="15" r:id="rId7"/>
    <sheet name="Café Fruta-Bellota" sheetId="13" r:id="rId8"/>
    <sheet name="BELLOTA" sheetId="6" r:id="rId9"/>
    <sheet name="Liq.Provi." sheetId="10" r:id="rId10"/>
  </sheets>
  <definedNames>
    <definedName name="_xlnm.Print_Area" localSheetId="8">BELLOTA!$A$1:$J$58</definedName>
    <definedName name="_xlnm.Print_Area" localSheetId="6">'Gastos - BELLOTA'!$A$1:$I$46</definedName>
    <definedName name="_xlnm.Print_Area" localSheetId="4">'Gastos(4)'!$A$1:$I$49</definedName>
    <definedName name="_xlnm.Print_Area" localSheetId="5">Liq.Final!$A$1:$K$81</definedName>
    <definedName name="_xlnm.Print_Area" localSheetId="9">'Liq.Provi.'!$A$1:$I$85</definedName>
    <definedName name="_xlnm.Print_Area" localSheetId="3">'Ventas Cons.Nac.(3)'!$A$1:$I$27</definedName>
    <definedName name="_xlnm.Print_Area" localSheetId="2">'Ventas Export.(2)'!$A$1:$K$58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9" l="1"/>
  <c r="H55" i="10"/>
  <c r="K11" i="4"/>
  <c r="K12" i="4"/>
  <c r="I11" i="4"/>
  <c r="I12" i="4"/>
  <c r="H11" i="4"/>
  <c r="H12" i="4"/>
  <c r="F11" i="4"/>
  <c r="F12" i="4"/>
  <c r="G38" i="10"/>
  <c r="C20" i="10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K37" i="4"/>
  <c r="H38" i="4"/>
  <c r="F39" i="4"/>
  <c r="K39" i="4" s="1"/>
  <c r="F40" i="4"/>
  <c r="H40" i="4" s="1"/>
  <c r="F41" i="4"/>
  <c r="H41" i="4" s="1"/>
  <c r="F42" i="4"/>
  <c r="H42" i="4" s="1"/>
  <c r="F43" i="4"/>
  <c r="K43" i="4" s="1"/>
  <c r="F44" i="4"/>
  <c r="I44" i="4" s="1"/>
  <c r="F45" i="4"/>
  <c r="K45" i="4" s="1"/>
  <c r="F46" i="4"/>
  <c r="K46" i="4" s="1"/>
  <c r="F47" i="4"/>
  <c r="H47" i="4" s="1"/>
  <c r="F48" i="4"/>
  <c r="K48" i="4" s="1"/>
  <c r="F49" i="4"/>
  <c r="H49" i="4" s="1"/>
  <c r="F50" i="4"/>
  <c r="H50" i="4" s="1"/>
  <c r="F51" i="4"/>
  <c r="I51" i="4" s="1"/>
  <c r="F52" i="4"/>
  <c r="I52" i="4" s="1"/>
  <c r="F53" i="4"/>
  <c r="F55" i="4"/>
  <c r="I50" i="4" l="1"/>
  <c r="I42" i="4"/>
  <c r="K41" i="4"/>
  <c r="I49" i="4"/>
  <c r="I41" i="4"/>
  <c r="K49" i="4"/>
  <c r="K44" i="4"/>
  <c r="H39" i="4"/>
  <c r="K42" i="4"/>
  <c r="H48" i="4"/>
  <c r="H46" i="4"/>
  <c r="I48" i="4"/>
  <c r="I40" i="4"/>
  <c r="H45" i="4"/>
  <c r="I47" i="4"/>
  <c r="I39" i="4"/>
  <c r="K47" i="4"/>
  <c r="H44" i="4"/>
  <c r="I46" i="4"/>
  <c r="I38" i="4"/>
  <c r="K38" i="4"/>
  <c r="K40" i="4"/>
  <c r="H43" i="4"/>
  <c r="I45" i="4"/>
  <c r="I37" i="4"/>
  <c r="K51" i="4"/>
  <c r="I43" i="4"/>
  <c r="H51" i="4"/>
  <c r="H52" i="4"/>
  <c r="K52" i="4"/>
  <c r="K50" i="4"/>
  <c r="G30" i="9" l="1"/>
  <c r="H51" i="10" l="1"/>
  <c r="H24" i="10" l="1"/>
  <c r="K4" i="13" l="1"/>
  <c r="G3" i="13"/>
  <c r="B68" i="9" l="1"/>
  <c r="C68" i="9"/>
  <c r="B69" i="9"/>
  <c r="C69" i="9"/>
  <c r="C66" i="9" s="1"/>
  <c r="D66" i="9" l="1"/>
  <c r="C67" i="9"/>
  <c r="D67" i="9" s="1"/>
  <c r="E16" i="9"/>
  <c r="F13" i="4" l="1"/>
  <c r="K13" i="4" s="1"/>
  <c r="F14" i="4"/>
  <c r="F15" i="4"/>
  <c r="K15" i="4" s="1"/>
  <c r="F16" i="4"/>
  <c r="K16" i="4" s="1"/>
  <c r="F17" i="4"/>
  <c r="K17" i="4" s="1"/>
  <c r="F18" i="4"/>
  <c r="K18" i="4" s="1"/>
  <c r="F19" i="4"/>
  <c r="K19" i="4" s="1"/>
  <c r="F20" i="4"/>
  <c r="K20" i="4" s="1"/>
  <c r="K21" i="4"/>
  <c r="K22" i="4"/>
  <c r="K53" i="4"/>
  <c r="F4" i="13"/>
  <c r="H21" i="4" l="1"/>
  <c r="H17" i="4"/>
  <c r="H18" i="4"/>
  <c r="H16" i="4"/>
  <c r="H13" i="4"/>
  <c r="H53" i="4"/>
  <c r="I22" i="4"/>
  <c r="I21" i="4"/>
  <c r="H22" i="4"/>
  <c r="I13" i="4"/>
  <c r="I20" i="4"/>
  <c r="H15" i="4"/>
  <c r="I19" i="4"/>
  <c r="I18" i="4"/>
  <c r="I53" i="4"/>
  <c r="I17" i="4"/>
  <c r="I14" i="4"/>
  <c r="K14" i="4"/>
  <c r="H20" i="4"/>
  <c r="I16" i="4"/>
  <c r="H19" i="4"/>
  <c r="I23" i="4"/>
  <c r="I15" i="4"/>
  <c r="H14" i="4"/>
  <c r="H79" i="10"/>
  <c r="B10" i="9" l="1"/>
  <c r="F10" i="9"/>
  <c r="H5" i="3" l="1"/>
  <c r="G33" i="15" l="1"/>
  <c r="F6" i="15"/>
  <c r="F19" i="15" l="1"/>
  <c r="F29" i="15"/>
  <c r="G27" i="15"/>
  <c r="G31" i="15" s="1"/>
  <c r="F21" i="15"/>
  <c r="F20" i="15"/>
  <c r="F13" i="15"/>
  <c r="F12" i="15"/>
  <c r="F5" i="15"/>
  <c r="E3" i="15"/>
  <c r="D3" i="15"/>
  <c r="F14" i="15" l="1"/>
  <c r="F22" i="15"/>
  <c r="F15" i="15"/>
  <c r="F24" i="15"/>
  <c r="F16" i="15"/>
  <c r="F17" i="15"/>
  <c r="F25" i="15"/>
  <c r="F23" i="15"/>
  <c r="F18" i="15"/>
  <c r="F11" i="15"/>
  <c r="F27" i="15" s="1"/>
  <c r="F31" i="15" s="1"/>
  <c r="D30" i="9" l="1"/>
  <c r="D31" i="9"/>
  <c r="F11" i="3"/>
  <c r="G26" i="5"/>
  <c r="G28" i="5" s="1"/>
  <c r="I22" i="13"/>
  <c r="M22" i="13"/>
  <c r="L21" i="13"/>
  <c r="I21" i="13"/>
  <c r="M21" i="13" s="1"/>
  <c r="L20" i="13"/>
  <c r="L19" i="13"/>
  <c r="L18" i="13"/>
  <c r="L17" i="13"/>
  <c r="I17" i="13"/>
  <c r="M17" i="13" s="1"/>
  <c r="L16" i="13"/>
  <c r="L15" i="13"/>
  <c r="L14" i="13"/>
  <c r="I25" i="13"/>
  <c r="M25" i="13" s="1"/>
  <c r="I24" i="13"/>
  <c r="M24" i="13" s="1"/>
  <c r="I23" i="13"/>
  <c r="M23" i="13" s="1"/>
  <c r="I20" i="13"/>
  <c r="M20" i="13" s="1"/>
  <c r="I19" i="13"/>
  <c r="I18" i="13"/>
  <c r="I16" i="13"/>
  <c r="M16" i="13"/>
  <c r="I15" i="13"/>
  <c r="I14" i="13"/>
  <c r="J26" i="13"/>
  <c r="F26" i="13"/>
  <c r="F28" i="13" s="1"/>
  <c r="L25" i="13"/>
  <c r="L24" i="13"/>
  <c r="M19" i="13"/>
  <c r="M18" i="13"/>
  <c r="M15" i="13"/>
  <c r="L13" i="13"/>
  <c r="I13" i="13"/>
  <c r="L12" i="13"/>
  <c r="I12" i="13"/>
  <c r="L11" i="13"/>
  <c r="I11" i="13"/>
  <c r="M11" i="13" s="1"/>
  <c r="L10" i="13"/>
  <c r="I10" i="13"/>
  <c r="M10" i="13" s="1"/>
  <c r="L9" i="13"/>
  <c r="I9" i="13"/>
  <c r="M9" i="13"/>
  <c r="L8" i="13"/>
  <c r="I8" i="13"/>
  <c r="I26" i="13" s="1"/>
  <c r="L26" i="13"/>
  <c r="L28" i="13" s="1"/>
  <c r="M14" i="13"/>
  <c r="M13" i="13"/>
  <c r="M12" i="13"/>
  <c r="M8" i="13"/>
  <c r="J28" i="13"/>
  <c r="F10" i="3"/>
  <c r="G10" i="3" s="1"/>
  <c r="F10" i="6"/>
  <c r="B10" i="6"/>
  <c r="B8" i="6"/>
  <c r="H70" i="10"/>
  <c r="F5" i="2"/>
  <c r="B8" i="10"/>
  <c r="C73" i="10"/>
  <c r="C70" i="10" s="1"/>
  <c r="B73" i="10"/>
  <c r="C72" i="10"/>
  <c r="B72" i="10"/>
  <c r="G37" i="10"/>
  <c r="D37" i="10"/>
  <c r="G36" i="10"/>
  <c r="D36" i="10"/>
  <c r="G35" i="10"/>
  <c r="D35" i="10"/>
  <c r="B8" i="9"/>
  <c r="F12" i="3"/>
  <c r="G12" i="3" s="1"/>
  <c r="F6" i="2"/>
  <c r="E2" i="9"/>
  <c r="G31" i="9"/>
  <c r="E3" i="3"/>
  <c r="M24" i="5"/>
  <c r="M25" i="5"/>
  <c r="K26" i="5"/>
  <c r="K28" i="5" s="1"/>
  <c r="E15" i="9" s="1"/>
  <c r="J26" i="5"/>
  <c r="J28" i="5" s="1"/>
  <c r="F26" i="5"/>
  <c r="G27" i="2"/>
  <c r="G31" i="2" s="1"/>
  <c r="G38" i="9" s="1"/>
  <c r="D3" i="2"/>
  <c r="E3" i="2"/>
  <c r="G3" i="4"/>
  <c r="A6" i="4"/>
  <c r="H6" i="3"/>
  <c r="B6" i="3"/>
  <c r="G54" i="4"/>
  <c r="M22" i="5"/>
  <c r="M21" i="5"/>
  <c r="M23" i="5"/>
  <c r="J54" i="4"/>
  <c r="H28" i="9" s="1"/>
  <c r="H21" i="3"/>
  <c r="H29" i="9" s="1"/>
  <c r="E21" i="3"/>
  <c r="F21" i="3" s="1"/>
  <c r="E28" i="6"/>
  <c r="E32" i="6" s="1"/>
  <c r="H28" i="6"/>
  <c r="G33" i="6" s="1"/>
  <c r="G34" i="6" s="1"/>
  <c r="H35" i="6" s="1"/>
  <c r="H36" i="6" s="1"/>
  <c r="G29" i="6"/>
  <c r="D22" i="6"/>
  <c r="D24" i="6"/>
  <c r="D27" i="6"/>
  <c r="G27" i="6"/>
  <c r="G24" i="6"/>
  <c r="G23" i="6"/>
  <c r="G22" i="6"/>
  <c r="G11" i="3"/>
  <c r="M19" i="5"/>
  <c r="M14" i="5"/>
  <c r="M12" i="5"/>
  <c r="M9" i="5"/>
  <c r="M15" i="5"/>
  <c r="M10" i="5"/>
  <c r="M20" i="5"/>
  <c r="E54" i="4"/>
  <c r="F54" i="4" s="1"/>
  <c r="F20" i="3"/>
  <c r="G20" i="3" s="1"/>
  <c r="F19" i="3"/>
  <c r="G19" i="3" s="1"/>
  <c r="F18" i="3"/>
  <c r="F17" i="3"/>
  <c r="G17" i="3" s="1"/>
  <c r="F16" i="3"/>
  <c r="G16" i="3" s="1"/>
  <c r="F15" i="3"/>
  <c r="G15" i="3"/>
  <c r="F14" i="3"/>
  <c r="G14" i="3" s="1"/>
  <c r="F13" i="3"/>
  <c r="G13" i="3"/>
  <c r="G18" i="3"/>
  <c r="M8" i="5"/>
  <c r="D23" i="6"/>
  <c r="M11" i="5"/>
  <c r="M16" i="5"/>
  <c r="M17" i="5"/>
  <c r="M13" i="5"/>
  <c r="M18" i="5"/>
  <c r="I26" i="5" l="1"/>
  <c r="I28" i="5" s="1"/>
  <c r="I28" i="13"/>
  <c r="C15" i="6" s="1"/>
  <c r="M26" i="13"/>
  <c r="D28" i="6"/>
  <c r="F28" i="5"/>
  <c r="E29" i="9"/>
  <c r="G29" i="9" s="1"/>
  <c r="G21" i="3"/>
  <c r="G33" i="2"/>
  <c r="F13" i="2" s="1"/>
  <c r="E33" i="10"/>
  <c r="I54" i="4"/>
  <c r="H33" i="10"/>
  <c r="L26" i="5"/>
  <c r="L28" i="5" s="1"/>
  <c r="E15" i="6"/>
  <c r="M28" i="13"/>
  <c r="H33" i="9"/>
  <c r="E21" i="10"/>
  <c r="E20" i="10"/>
  <c r="G20" i="10" s="1"/>
  <c r="C15" i="9"/>
  <c r="D70" i="10"/>
  <c r="C71" i="10"/>
  <c r="D71" i="10" s="1"/>
  <c r="M28" i="5" l="1"/>
  <c r="C16" i="9"/>
  <c r="C22" i="10"/>
  <c r="G22" i="10" s="1"/>
  <c r="E28" i="10" s="1"/>
  <c r="G34" i="10"/>
  <c r="F16" i="2"/>
  <c r="F20" i="2"/>
  <c r="F29" i="2"/>
  <c r="F12" i="2"/>
  <c r="F24" i="2"/>
  <c r="F14" i="2"/>
  <c r="F18" i="2"/>
  <c r="F22" i="2"/>
  <c r="F23" i="2"/>
  <c r="F21" i="2"/>
  <c r="F17" i="2"/>
  <c r="F11" i="2"/>
  <c r="G16" i="9"/>
  <c r="F15" i="2"/>
  <c r="F19" i="2"/>
  <c r="F25" i="2"/>
  <c r="K54" i="4"/>
  <c r="F33" i="10" s="1"/>
  <c r="E28" i="9"/>
  <c r="G28" i="9" s="1"/>
  <c r="H54" i="4"/>
  <c r="F28" i="9" s="1"/>
  <c r="H39" i="10"/>
  <c r="G45" i="10" s="1"/>
  <c r="G46" i="10" s="1"/>
  <c r="H47" i="10" s="1"/>
  <c r="H48" i="10" s="1"/>
  <c r="G33" i="10"/>
  <c r="M26" i="5"/>
  <c r="E22" i="10"/>
  <c r="H19" i="9"/>
  <c r="G15" i="6"/>
  <c r="E17" i="6" s="1"/>
  <c r="H37" i="6" s="1"/>
  <c r="H38" i="6" s="1"/>
  <c r="H46" i="9" s="1"/>
  <c r="G15" i="9"/>
  <c r="C17" i="9"/>
  <c r="E17" i="9"/>
  <c r="G40" i="9"/>
  <c r="G41" i="9" s="1"/>
  <c r="H42" i="9" s="1"/>
  <c r="H43" i="9" s="1"/>
  <c r="F27" i="2" l="1"/>
  <c r="F31" i="2" s="1"/>
  <c r="H21" i="9"/>
  <c r="H20" i="9"/>
  <c r="H49" i="10"/>
  <c r="H50" i="10" s="1"/>
  <c r="H52" i="10" s="1"/>
  <c r="G21" i="10"/>
  <c r="H26" i="10" s="1"/>
  <c r="D33" i="10"/>
  <c r="D39" i="10" s="1"/>
  <c r="E33" i="9"/>
  <c r="D29" i="9" s="1"/>
  <c r="E44" i="10"/>
  <c r="G17" i="9"/>
  <c r="E23" i="9" l="1"/>
  <c r="H44" i="9" s="1"/>
  <c r="H45" i="9" s="1"/>
  <c r="H47" i="9" s="1"/>
  <c r="H49" i="9" s="1"/>
  <c r="H25" i="10"/>
  <c r="E38" i="9"/>
  <c r="D28" i="9"/>
  <c r="D33" i="9" s="1"/>
  <c r="H55" i="9" l="1"/>
  <c r="H54" i="10"/>
  <c r="H56" i="9"/>
  <c r="H59" i="10" l="1"/>
  <c r="H56" i="10"/>
  <c r="H61" i="10" s="1"/>
  <c r="H60" i="10"/>
  <c r="H51" i="9"/>
  <c r="H5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Alcides Quirós</author>
  </authors>
  <commentList>
    <comment ref="C10" authorId="0" shapeId="0" xr:uid="{7B473286-D0AF-46C3-AB6C-222604469BC7}">
      <text>
        <r>
          <rPr>
            <b/>
            <sz val="9"/>
            <color indexed="81"/>
            <rFont val="Tahoma"/>
            <family val="2"/>
          </rPr>
          <t>Alcides Quirós:</t>
        </r>
        <r>
          <rPr>
            <sz val="9"/>
            <color indexed="81"/>
            <rFont val="Tahoma"/>
            <family val="2"/>
          </rPr>
          <t xml:space="preserve">
TC: 600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ICAFE</author>
  </authors>
  <commentList>
    <comment ref="B6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ICAFE:  Si su beneficio trabaja con Bellota en esta casilla se debe incluir el café maduro zona B + bellota.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ICAFE</author>
  </authors>
  <commentList>
    <comment ref="B7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ICAFE:  Si su beneficio trabaja con Bellota en esta casilla se debe incluir el café maduro zona B + bellota.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<sst xmlns="http://schemas.openxmlformats.org/spreadsheetml/2006/main" count="403" uniqueCount="232">
  <si>
    <t>UNIDAD DE LIQUIDACIONES</t>
  </si>
  <si>
    <t>INSTRUCCIONES DE LLENADO: LIQUIDACIÓN FINAL ELECTRÓNCIA Y DETALLE COMPRENSIVO DE GASTOS</t>
  </si>
  <si>
    <r>
      <t>Introducción</t>
    </r>
    <r>
      <rPr>
        <sz val="11"/>
        <color theme="1"/>
        <rFont val="Calibri"/>
        <family val="2"/>
        <scheme val="minor"/>
      </rPr>
      <t xml:space="preserve">: El presente </t>
    </r>
    <r>
      <rPr>
        <b/>
        <sz val="10"/>
        <rFont val="Arial"/>
        <family val="2"/>
      </rPr>
      <t>formato electrónico</t>
    </r>
    <r>
      <rPr>
        <sz val="11"/>
        <color theme="1"/>
        <rFont val="Calibri"/>
        <family val="2"/>
        <scheme val="minor"/>
      </rPr>
      <t xml:space="preserve"> de la Liquidación Final es una representación del  </t>
    </r>
    <r>
      <rPr>
        <b/>
        <sz val="10"/>
        <rFont val="Arial"/>
        <family val="2"/>
      </rPr>
      <t>formato</t>
    </r>
  </si>
  <si>
    <r>
      <t>de formulario  tradicional de las cuentas de Liquidación Final</t>
    </r>
    <r>
      <rPr>
        <sz val="11"/>
        <color theme="1"/>
        <rFont val="Calibri"/>
        <family val="2"/>
        <scheme val="minor"/>
      </rPr>
      <t xml:space="preserve">.  Este formato digital contiene fórmulas que permite </t>
    </r>
  </si>
  <si>
    <t xml:space="preserve">agilizar el llenado . </t>
  </si>
  <si>
    <t>1) El usuario de este archivo únicamente deberá completar las celdas rellenadas en amarillo.  Las  celdas que requieren alguna operación aritmética, se recalcularán automáticamente, a través de la fórmulas diseñadas para tal efecto. Las que corresponden a fruta, gastos, ventas de exportación y de consumo nacional, TOMA LOS DATOS DE LAS HOJAS QUE SE PRESENTAN COMO ANEXOS. Complete primero los anexos y por último la hoja de "Liq.Final" con los datos que falten.</t>
  </si>
  <si>
    <t xml:space="preserve">2) Las celdas que contienen fórmulas están protegidas, para seguridad del usuario.  </t>
  </si>
  <si>
    <r>
      <t xml:space="preserve">3)  Las firmas beneficiadoras deberán elaborar </t>
    </r>
    <r>
      <rPr>
        <b/>
        <sz val="10"/>
        <rFont val="Arial"/>
        <family val="2"/>
      </rPr>
      <t xml:space="preserve">una liquidación final para cada categoría de café que procese </t>
    </r>
    <r>
      <rPr>
        <sz val="11"/>
        <color theme="1"/>
        <rFont val="Calibri"/>
        <family val="2"/>
        <scheme val="minor"/>
      </rPr>
      <t>a saber:</t>
    </r>
    <r>
      <rPr>
        <sz val="10"/>
        <rFont val="Arial"/>
        <family val="2"/>
      </rPr>
      <t xml:space="preserve"> Convencional, Diferenciado, Veranero, Orgánico u otro.  Para ello se debe cambiar el nombre del respectivo café en la celda "C3", posteriormente se debe completar el formulario con la información necesaria.</t>
    </r>
  </si>
  <si>
    <t>4)  Las firmas beneficiadoras que procesan tanto café convencional como bellota, deben elaborar la liquidación utilizando  conjuntamente las hojas "Convencional" y "Bellota", y siguiendo la metodología descrita en la circular   PRESENTACION DE LA CUENTA DE LIQUIDACIÓN FINAL.</t>
  </si>
  <si>
    <t>5) Se sugiere que después de abrir este archivo, se proceda a salvarlo en sus discos duros.   Asegúrese de salvarlo con extensión de excel (xls).</t>
  </si>
  <si>
    <t>6) Una vez completado este formulario, sírvase imprimirlo en una página, tal y como está predeterminado.  Posteriormente, el formulario impreso debe ser firmado por el representante legal del benefico, y remitirlo a la Unidad de Liquidaciones con la documentación adicional detallada en la circular: PRESENTACION DE LA CUENTA DE LIQUIDACIÓN FINAL.</t>
  </si>
  <si>
    <t xml:space="preserve">7) Para cualquier información adicional, pueden comunicarse con la Unidad de Liquidaciones de este Instituto a los teléfonos </t>
  </si>
  <si>
    <t>2243-7842 / 2243-7845 / 2243-7890 en el horario de oficina de 7:30 a.m. a 3:30 p.m. de lunes a viernes.</t>
  </si>
  <si>
    <t>Café Recibido en unidades de DHL</t>
  </si>
  <si>
    <t>COSECHA:</t>
  </si>
  <si>
    <t>NOMBRE DEL BENEFICIADOR:</t>
  </si>
  <si>
    <t>CÓDIGO:</t>
  </si>
  <si>
    <t>Categoría:</t>
  </si>
  <si>
    <t>PROPIO</t>
  </si>
  <si>
    <t>COMPRADO</t>
  </si>
  <si>
    <t>TOTAL</t>
  </si>
  <si>
    <t>Mes</t>
  </si>
  <si>
    <t>Quincena</t>
  </si>
  <si>
    <t>Maduro</t>
  </si>
  <si>
    <t>Verde</t>
  </si>
  <si>
    <t>Julio</t>
  </si>
  <si>
    <t>1-15</t>
  </si>
  <si>
    <t>16-31</t>
  </si>
  <si>
    <t>Agosto</t>
  </si>
  <si>
    <t>Setiembre</t>
  </si>
  <si>
    <t>16-30</t>
  </si>
  <si>
    <t>Octubre</t>
  </si>
  <si>
    <t>Noviembre</t>
  </si>
  <si>
    <t>Diciembre</t>
  </si>
  <si>
    <t>Enero</t>
  </si>
  <si>
    <t>Febrero</t>
  </si>
  <si>
    <t>16-29</t>
  </si>
  <si>
    <t>Marzo</t>
  </si>
  <si>
    <t>Unidades de 400 litros (dato a reportar en liquidación)</t>
  </si>
  <si>
    <t>Hoja de Trabajo</t>
  </si>
  <si>
    <t>Ventas de Café para la Exportación</t>
  </si>
  <si>
    <t>Cosecha:</t>
  </si>
  <si>
    <t>HOJA DE TRABAJO  CON EL DETALLE DE VENTAS DE EXPORTACIÓN</t>
  </si>
  <si>
    <t>CATEGORIA:</t>
  </si>
  <si>
    <t>LIQ.FINAL</t>
  </si>
  <si>
    <t>N° Código:</t>
  </si>
  <si>
    <t>COMPRADOR</t>
  </si>
  <si>
    <t>No de Factura</t>
  </si>
  <si>
    <t>Contrato ICAFE No.</t>
  </si>
  <si>
    <t>KILOGRAMOS</t>
  </si>
  <si>
    <t>Unidades de 46 Kgs. Netos</t>
  </si>
  <si>
    <t>Valor rieles en Dólares</t>
  </si>
  <si>
    <t>Prom. por 46 Kgs. en $</t>
  </si>
  <si>
    <t>Tipo de Cambio</t>
  </si>
  <si>
    <t>Valor total en colones</t>
  </si>
  <si>
    <t>Prom. por 46 kgs. en ¢</t>
  </si>
  <si>
    <t>Totales</t>
  </si>
  <si>
    <t>Firma del representante:</t>
  </si>
  <si>
    <t>Ventas de Café para Consumo Nacional</t>
  </si>
  <si>
    <t xml:space="preserve">Cosecha: </t>
  </si>
  <si>
    <t>Categoría</t>
  </si>
  <si>
    <t>Beneficiador:</t>
  </si>
  <si>
    <t>No. Factaura</t>
  </si>
  <si>
    <t>N° Contrato ICAFE</t>
  </si>
  <si>
    <t>Unidades de 46 kgs. netos</t>
  </si>
  <si>
    <t>Precio Prom. en ¢ por 46 Khs.</t>
  </si>
  <si>
    <t>Valor total en Colones</t>
  </si>
  <si>
    <t>FIRMA:</t>
  </si>
  <si>
    <t>NOMBRE DE LA FIRMA BENEFICIADORA</t>
  </si>
  <si>
    <t>GASTOS DE BENEFICIADO DE CAFÉ</t>
  </si>
  <si>
    <t>COSECHA :</t>
  </si>
  <si>
    <t>CATEGORÍA DE CAFÉ */:</t>
  </si>
  <si>
    <t>Gasto Unitario</t>
  </si>
  <si>
    <t>Costo Total de</t>
  </si>
  <si>
    <t>Rubro de gasto</t>
  </si>
  <si>
    <t>(CR¢/kg)</t>
  </si>
  <si>
    <t>Proceso (CR¢)</t>
  </si>
  <si>
    <t>Salarios de la planta del Beneficio</t>
  </si>
  <si>
    <t>Cargas y garantías sociales</t>
  </si>
  <si>
    <t>Seguro riesgos del trabajo</t>
  </si>
  <si>
    <t>Energía eléctrica (electricidad)</t>
  </si>
  <si>
    <t>Combustibles (leña, gas)</t>
  </si>
  <si>
    <t>Combustibles (lubrican., combust.)</t>
  </si>
  <si>
    <t>Sacos, cajas y bolsas para comercializar café</t>
  </si>
  <si>
    <t>Otros elementos para empaque</t>
  </si>
  <si>
    <t>Preparación de café en Beneficios secos</t>
  </si>
  <si>
    <t>Transporte de café beneficiado</t>
  </si>
  <si>
    <t>Seguros de café</t>
  </si>
  <si>
    <t>Canon de aprovechamiento y vertido de aguas</t>
  </si>
  <si>
    <t>Impuestos munipales cancelados</t>
  </si>
  <si>
    <t>Tratamiento de aguas de desecho</t>
  </si>
  <si>
    <t>Tratamiento de broza</t>
  </si>
  <si>
    <t>Sub-Total: Costos Operativos de Beneficiado</t>
  </si>
  <si>
    <t>Depreciación y mantenimiento, activos aguas y broza</t>
  </si>
  <si>
    <t>Certificación calidad u orgánico, inscripción MAG</t>
  </si>
  <si>
    <t>Gasto Total de Beneficiado de Café (CR¢)</t>
  </si>
  <si>
    <t>Café procesado en la cosecha (kg)</t>
  </si>
  <si>
    <r>
      <t>Nota:</t>
    </r>
    <r>
      <rPr>
        <sz val="8"/>
        <rFont val="Arial"/>
        <family val="2"/>
      </rPr>
      <t xml:space="preserve"> estructura de gastos sujetos a modificaciones según informe.</t>
    </r>
  </si>
  <si>
    <t>Lic.:________________________________</t>
  </si>
  <si>
    <t>C.P.A. carné No.:_____________________</t>
  </si>
  <si>
    <t>Póliza de Fidelidad No.:________________, Vence:__________</t>
  </si>
  <si>
    <r>
      <t xml:space="preserve">*/ Café … </t>
    </r>
    <r>
      <rPr>
        <sz val="12"/>
        <rFont val="Arial"/>
        <family val="2"/>
      </rPr>
      <t>(Convencional, Diferenciado, Veranero, Orgánico, Bellota o Taza de Excelencia)</t>
    </r>
  </si>
  <si>
    <t>CATEGORIA DE CAFÉ</t>
  </si>
  <si>
    <t>Liquidación Final</t>
  </si>
  <si>
    <t>Cosecha</t>
  </si>
  <si>
    <t>No.</t>
  </si>
  <si>
    <t>Rend. Mínimo:</t>
  </si>
  <si>
    <t>Café Recibido en unidades de 400 litros ( Fanega)</t>
  </si>
  <si>
    <t>a) Verde</t>
  </si>
  <si>
    <t>b) Maduro</t>
  </si>
  <si>
    <t>c) Total</t>
  </si>
  <si>
    <t>Natural</t>
  </si>
  <si>
    <t>d) Total</t>
  </si>
  <si>
    <t>e) Maduro + Natural</t>
  </si>
  <si>
    <t>f) Rendimiento en kilogramos por unidad de 400 litros ( fanega)</t>
  </si>
  <si>
    <t>Café Elaborado</t>
  </si>
  <si>
    <t>%</t>
  </si>
  <si>
    <t>Cantidad en unidades de 46 kilogramos</t>
  </si>
  <si>
    <t>Precio Prom. Por 46 kg. en dólares</t>
  </si>
  <si>
    <t>Precio Prom.          Por 46  kg.                               en colones</t>
  </si>
  <si>
    <t>g) Café Vendido para Exportación</t>
  </si>
  <si>
    <t>h) Café Vendido para Consumo Nacional</t>
  </si>
  <si>
    <t>i) Otros:</t>
  </si>
  <si>
    <t>Pago de muestras para rendimiento</t>
  </si>
  <si>
    <t>Ingreso por Opciones de Café</t>
  </si>
  <si>
    <t>j) TOTAL</t>
  </si>
  <si>
    <t>MENOS DEDUCCIONES</t>
  </si>
  <si>
    <t>k) Total Gastos de Beneficio (acompañar detalle)</t>
  </si>
  <si>
    <t>Por 46 kg.</t>
  </si>
  <si>
    <t>l) Egresos por Opciones de Café</t>
  </si>
  <si>
    <t xml:space="preserve">m) Subtotal (total valor línea j, menos k) </t>
  </si>
  <si>
    <t>n) Para Beneficiador (9% del Sub-total de línea m)</t>
  </si>
  <si>
    <r>
      <t xml:space="preserve">    </t>
    </r>
    <r>
      <rPr>
        <b/>
        <sz val="10"/>
        <rFont val="Arial"/>
        <family val="2"/>
      </rPr>
      <t>TOTAL DEDUCCIONES</t>
    </r>
    <r>
      <rPr>
        <sz val="10"/>
        <rFont val="Arial"/>
        <family val="2"/>
      </rPr>
      <t xml:space="preserve"> ( Suma línea K, línea l y línea n)</t>
    </r>
  </si>
  <si>
    <t>ñ) Producto Neto Café fruta (Línea j menos deducciones (líneas k, l y m))</t>
  </si>
  <si>
    <t>o) Más Valor Café Diferencia Rendimiento</t>
  </si>
  <si>
    <t>p) Valor Líquido Distribuible Café Fruta (Línea ñ más línea o)</t>
  </si>
  <si>
    <t>q) Más Valor Líquido Distribuible Café Natural</t>
  </si>
  <si>
    <t>r) Valor Líquido Distribuible Total (línea p más q)</t>
  </si>
  <si>
    <t xml:space="preserve">     PRECIO BRUTO</t>
  </si>
  <si>
    <t>s) Precio Promedio de Liquidación por 400 litros (Línea r entre total línea d)</t>
  </si>
  <si>
    <t>u) Precio del café Maduro por 400 litros (ver instrucciones para cálculo)</t>
  </si>
  <si>
    <t>v) MENOS FONECAFE</t>
  </si>
  <si>
    <t>w) Menos FONASCAFE</t>
  </si>
  <si>
    <t xml:space="preserve">     PRECIO NETO</t>
  </si>
  <si>
    <t>x) Precio Promedio de Liquidación Con Fonecafe (línea s - (fonecafe entre línea d))</t>
  </si>
  <si>
    <t>y) Precio Definitivo del Café verde por 400 litros ( línea t - (fonecafe / d))</t>
  </si>
  <si>
    <t>z) Precio del café Maduro por 400 litros ( línea u - (fonecafe entre d))</t>
  </si>
  <si>
    <t>Para llenar solo por los beneficios con fijación de zonas de recibo de café en fruta</t>
  </si>
  <si>
    <t>porcentaje de diferencia de precio entre zonas</t>
  </si>
  <si>
    <t>Factor</t>
  </si>
  <si>
    <t>% de diferencia</t>
  </si>
  <si>
    <t>CAFÉ MADURO</t>
  </si>
  <si>
    <t>Cantidad en Unidades de 400 litros ( fanega)</t>
  </si>
  <si>
    <t>Precio de Liquidación por unidad de 400 Litros ( fanega)</t>
  </si>
  <si>
    <t>Zona A</t>
  </si>
  <si>
    <t>Zona B</t>
  </si>
  <si>
    <t>Total</t>
  </si>
  <si>
    <t>Promedio</t>
  </si>
  <si>
    <t xml:space="preserve">Nota:  Si su beneficio trabaja con café Bellota en la casilla Cantidad en Unidades de 400 Litros Zona B  </t>
  </si>
  <si>
    <t>se debe incluir:  (café maduro zona B + bellota).</t>
  </si>
  <si>
    <t>Nombre Completo Representante Legal</t>
  </si>
  <si>
    <t>__________________________</t>
  </si>
  <si>
    <t>Fecha de Presentación</t>
  </si>
  <si>
    <t>______________</t>
  </si>
  <si>
    <t>Cédula del Representante Legal</t>
  </si>
  <si>
    <t>______________________</t>
  </si>
  <si>
    <t>Firma Representante Legal</t>
  </si>
  <si>
    <t>CATEGORÍA DE CAFÉ:</t>
  </si>
  <si>
    <t>Planillas de patio y maquinaria</t>
  </si>
  <si>
    <t>Electricidad</t>
  </si>
  <si>
    <t>Sacos para comercializar café</t>
  </si>
  <si>
    <t>Cáñamo, brochas y tintas</t>
  </si>
  <si>
    <t>Escogida o preparación de café</t>
  </si>
  <si>
    <t>Canon de aprovechamiento de agua</t>
  </si>
  <si>
    <t>Tasas e impuestos pagados</t>
  </si>
  <si>
    <t>Tratamiento de aguas residuales</t>
  </si>
  <si>
    <t>Transporte y tratamiento de broza</t>
  </si>
  <si>
    <t>__________________________________________________________________________</t>
  </si>
  <si>
    <r>
      <t xml:space="preserve">*/ Café … </t>
    </r>
    <r>
      <rPr>
        <sz val="12"/>
        <rFont val="Arial"/>
        <family val="2"/>
      </rPr>
      <t>(Convencional, Diferenciado, Veranero, Orgánico o Bellota)</t>
    </r>
  </si>
  <si>
    <t>BELLOTA</t>
  </si>
  <si>
    <t>LIQUIDACION FINAL</t>
  </si>
  <si>
    <t>a) Café Natural o Bellota</t>
  </si>
  <si>
    <t>b) Rendimiento en kilogramos por unidad de 400 litros ( fanega)</t>
  </si>
  <si>
    <t>c) Café Vendido para Exportación</t>
  </si>
  <si>
    <t>d) Café Vendido para Consumo Nacional</t>
  </si>
  <si>
    <t>e) Otros:</t>
  </si>
  <si>
    <t xml:space="preserve">Pago de muestras cosecha </t>
  </si>
  <si>
    <t>Diferencial cambiario</t>
  </si>
  <si>
    <t>Monto Rectificaciones Precio Café Dañado</t>
  </si>
  <si>
    <t>f) TOTAL</t>
  </si>
  <si>
    <t>g) Total Gastos de Beneficio (acompañar detalle)</t>
  </si>
  <si>
    <t>por 46 kg.</t>
  </si>
  <si>
    <t xml:space="preserve">h) Subtotal (total valor línea f, menos g) </t>
  </si>
  <si>
    <t>i) Para Beneficiador (9% del sub-total de línea h)</t>
  </si>
  <si>
    <t>j) TOTAL DEDUCCIONES</t>
  </si>
  <si>
    <t>k) Producto Neto (valor total línea f menos deducciones línea j)</t>
  </si>
  <si>
    <t>l) Más Valor Café Diferencia Rendimiento</t>
  </si>
  <si>
    <t>m) Valor Líquido Distribuible</t>
  </si>
  <si>
    <t>Firma del Beneficiador</t>
  </si>
  <si>
    <t>_________________________________________</t>
  </si>
  <si>
    <t>SUMAR AL VALOR LIQUIDO DISTRIBUIBLE DEL CAFÉ EN FRUTA CONVENCIONAL,</t>
  </si>
  <si>
    <t>PARA OBTENER EL VALOR LIQUIDO DISTRIBUIBLE TOTAL</t>
  </si>
  <si>
    <t>LIQUIDACION PROVISIONAL</t>
  </si>
  <si>
    <t>AL</t>
  </si>
  <si>
    <t>TRIMESTRE</t>
  </si>
  <si>
    <t xml:space="preserve"> </t>
  </si>
  <si>
    <t>Indemnización del INS</t>
  </si>
  <si>
    <t>Por 46  kg.</t>
  </si>
  <si>
    <t xml:space="preserve">l) Subtotal (total valor línea j, menos k) </t>
  </si>
  <si>
    <t>m) Para Beneficiador (9% del Sub-total de línea l)</t>
  </si>
  <si>
    <r>
      <t xml:space="preserve">    </t>
    </r>
    <r>
      <rPr>
        <b/>
        <sz val="10"/>
        <rFont val="Arial"/>
        <family val="2"/>
      </rPr>
      <t>TOTAL DEDUCCIONES</t>
    </r>
    <r>
      <rPr>
        <sz val="10"/>
        <rFont val="Arial"/>
        <family val="2"/>
      </rPr>
      <t xml:space="preserve"> ( Suma línea K y línea m)</t>
    </r>
  </si>
  <si>
    <t>n) Producto Neto Café fruta (Línea j menos deducciones (líneas k y m))</t>
  </si>
  <si>
    <t>ñ) Más Valor Café Diferencia Rendimiento</t>
  </si>
  <si>
    <t>o) Valor Líquido Distribuible Café Fruta (Línea n más línea ñ)</t>
  </si>
  <si>
    <t>p) Más Valor Líquido Distribuible Café Natural</t>
  </si>
  <si>
    <t>q) Valor Líquido Distribuible Total (línea o más p)</t>
  </si>
  <si>
    <t>r) Precio Promedio de Liquidación por 400 litros (Línea q entre total línea d)</t>
  </si>
  <si>
    <t>t) Precio del café Maduro por 400 litros (ver instrucciones para cálculo)</t>
  </si>
  <si>
    <t>u) MENOS FONECAFE</t>
  </si>
  <si>
    <t>v) MENOS FONASCAFE</t>
  </si>
  <si>
    <t>w) Precio Promedio de Liquidación Con Fonecafe y Fonascafe (línea r - (fonecafe y Fonascafe entre línea d))</t>
  </si>
  <si>
    <t>x) Precio Definitivo del Café verde por 400 litros ( línea s - (fonecafe y Fonascafe / d))</t>
  </si>
  <si>
    <t>y) Precio del café Maduro por 400 litros ( línea t - (fonecafe y Fonascafe entre d))</t>
  </si>
  <si>
    <t>Para llenar solo por los Beneficios con fijación de zonas de recibo de café en fruta</t>
  </si>
  <si>
    <t>Adelanto a Productores a la Fecha:</t>
  </si>
  <si>
    <t xml:space="preserve">Monto en ¢ </t>
  </si>
  <si>
    <t>por fanega</t>
  </si>
  <si>
    <t xml:space="preserve">Nota:  Si su Beneficio trabaja con café Bellota en la casilla Cantidad en Unidades de 400 litros Zona B  </t>
  </si>
  <si>
    <t>2022-2023</t>
  </si>
  <si>
    <t>CONVENCIONAL</t>
  </si>
  <si>
    <t>s) Precio Definitivo del Café verde por 400 litros (Línea r por 0,55)</t>
  </si>
  <si>
    <t>t) Precio Definitivo del Café verde por 400 litros (Línea s por 0,55)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</si>
</sst>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\ ###\ ##0.0000_-;\-* #\ ###\ ##0.0000_-;_-* &quot;0.0000&quot;_-;_-@_-"/>
    <numFmt numFmtId="167" formatCode="0.0000"/>
    <numFmt numFmtId="168" formatCode="_-* #\ ###\ ##0.0000_-;\-* #\ ###\ ##0.0000_-;_-* &quot;&quot;????_-;_-@_-"/>
    <numFmt numFmtId="169" formatCode="0.000000"/>
    <numFmt numFmtId="170" formatCode="_-* #\ ###\ ##0.00_-;\-* #\ ###\ ##0.00_-;_-* &quot;&quot;????_-;_-@_-"/>
    <numFmt numFmtId="171" formatCode="&quot;$&quot;_-\ #\ ###\ ##0.00_-;\-* #\ ###\ ##0.00_-;_-* &quot;&quot;????_-;_-@_-"/>
    <numFmt numFmtId="172" formatCode="\¢\ #\ ###\ ##0.00_-;\-* #\ ###\ ##0.00_-;_-* &quot;&quot;????_-;_-@_-"/>
    <numFmt numFmtId="173" formatCode="\¢\ #\ ###\ ###\ ##0.00_-;[Red]\¢* #\ ###\ ###\ ##0.00_-"/>
    <numFmt numFmtId="174" formatCode="&quot;$&quot;\ #\ ##0.00_-"/>
    <numFmt numFmtId="175" formatCode="\¢_-* #\ ###\ ##0.00_-;[Red]\¢* #\ ###\ ##0.00_-"/>
    <numFmt numFmtId="176" formatCode="_-* #,##0.0000_-;\-* #,##0.0000_-;_-* &quot;-&quot;??_-;_-@_-"/>
    <numFmt numFmtId="177" formatCode="_(* #,##0.0000_);_(* \(#,##0.0000\);_(* &quot;-&quot;????_);_(@_)"/>
    <numFmt numFmtId="178" formatCode="\¢\ #\ ###\ ##0.00_-;[Red]\¢* #\ ###\ ##0.00_-"/>
    <numFmt numFmtId="179" formatCode="_(* #,##0.00000_);_(* \(#,##0.00000\);_(* &quot;-&quot;??_);_(@_)"/>
    <numFmt numFmtId="180" formatCode="_-* #,##0.0000_-;\-* #,##0.0000_-;_-* &quot;-&quot;????_-;_-@_-"/>
  </numFmts>
  <fonts count="4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</font>
    <font>
      <b/>
      <sz val="13.5"/>
      <name val="Arial"/>
      <family val="2"/>
    </font>
    <font>
      <sz val="13.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u/>
      <sz val="14"/>
      <name val="Arial"/>
      <family val="2"/>
    </font>
    <font>
      <b/>
      <sz val="11"/>
      <color indexed="8"/>
      <name val="Calibri"/>
      <family val="2"/>
    </font>
    <font>
      <b/>
      <i/>
      <sz val="20"/>
      <color indexed="60"/>
      <name val="augie"/>
    </font>
    <font>
      <sz val="18"/>
      <name val="Arial"/>
      <family val="2"/>
    </font>
    <font>
      <b/>
      <sz val="9"/>
      <name val="Arial"/>
      <family val="2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.5"/>
      <name val="Arial"/>
      <family val="2"/>
    </font>
    <font>
      <b/>
      <u/>
      <sz val="13.5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color indexed="10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b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3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5" fillId="0" borderId="0"/>
    <xf numFmtId="164" fontId="45" fillId="0" borderId="0" applyFont="0" applyFill="0" applyBorder="0" applyAlignment="0" applyProtection="0"/>
  </cellStyleXfs>
  <cellXfs count="357">
    <xf numFmtId="0" fontId="0" fillId="0" borderId="0" xfId="0"/>
    <xf numFmtId="0" fontId="2" fillId="0" borderId="0" xfId="0" applyFont="1"/>
    <xf numFmtId="0" fontId="4" fillId="0" borderId="0" xfId="0" applyFont="1" applyAlignment="1" applyProtection="1">
      <alignment horizontal="center"/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167" fontId="9" fillId="0" borderId="0" xfId="0" applyNumberFormat="1" applyFont="1"/>
    <xf numFmtId="0" fontId="6" fillId="0" borderId="0" xfId="0" applyFont="1" applyAlignment="1">
      <alignment horizontal="left"/>
    </xf>
    <xf numFmtId="168" fontId="8" fillId="0" borderId="0" xfId="0" applyNumberFormat="1" applyFont="1"/>
    <xf numFmtId="167" fontId="8" fillId="0" borderId="0" xfId="1" applyNumberFormat="1" applyFont="1" applyBorder="1" applyProtection="1"/>
    <xf numFmtId="2" fontId="8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69" fontId="10" fillId="0" borderId="0" xfId="0" applyNumberFormat="1" applyFont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170" fontId="8" fillId="0" borderId="4" xfId="0" applyNumberFormat="1" applyFont="1" applyBorder="1"/>
    <xf numFmtId="170" fontId="2" fillId="2" borderId="4" xfId="1" applyNumberFormat="1" applyFont="1" applyFill="1" applyBorder="1" applyProtection="1">
      <protection locked="0"/>
    </xf>
    <xf numFmtId="171" fontId="2" fillId="2" borderId="4" xfId="1" applyNumberFormat="1" applyFont="1" applyFill="1" applyBorder="1" applyProtection="1">
      <protection locked="0"/>
    </xf>
    <xf numFmtId="172" fontId="8" fillId="0" borderId="4" xfId="0" applyNumberFormat="1" applyFont="1" applyBorder="1"/>
    <xf numFmtId="173" fontId="2" fillId="2" borderId="4" xfId="0" applyNumberFormat="1" applyFont="1" applyFill="1" applyBorder="1" applyProtection="1">
      <protection locked="0"/>
    </xf>
    <xf numFmtId="171" fontId="2" fillId="0" borderId="4" xfId="1" applyNumberFormat="1" applyFont="1" applyFill="1" applyBorder="1" applyProtection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0" fontId="8" fillId="0" borderId="4" xfId="1" applyNumberFormat="1" applyFont="1" applyBorder="1" applyProtection="1"/>
    <xf numFmtId="174" fontId="2" fillId="0" borderId="4" xfId="0" applyNumberFormat="1" applyFont="1" applyBorder="1"/>
    <xf numFmtId="173" fontId="8" fillId="0" borderId="4" xfId="0" applyNumberFormat="1" applyFont="1" applyBorder="1"/>
    <xf numFmtId="175" fontId="8" fillId="0" borderId="1" xfId="0" applyNumberFormat="1" applyFont="1" applyBorder="1"/>
    <xf numFmtId="173" fontId="2" fillId="2" borderId="1" xfId="0" applyNumberFormat="1" applyFont="1" applyFill="1" applyBorder="1" applyProtection="1">
      <protection locked="0"/>
    </xf>
    <xf numFmtId="173" fontId="8" fillId="0" borderId="1" xfId="0" applyNumberFormat="1" applyFont="1" applyBorder="1"/>
    <xf numFmtId="173" fontId="9" fillId="0" borderId="1" xfId="0" applyNumberFormat="1" applyFont="1" applyBorder="1"/>
    <xf numFmtId="173" fontId="8" fillId="0" borderId="6" xfId="0" applyNumberFormat="1" applyFont="1" applyBorder="1"/>
    <xf numFmtId="167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0" fontId="13" fillId="0" borderId="0" xfId="0" applyFont="1"/>
    <xf numFmtId="166" fontId="8" fillId="0" borderId="2" xfId="0" applyNumberFormat="1" applyFont="1" applyBorder="1"/>
    <xf numFmtId="43" fontId="0" fillId="0" borderId="4" xfId="0" applyNumberForma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vertical="center"/>
    </xf>
    <xf numFmtId="2" fontId="0" fillId="0" borderId="17" xfId="0" applyNumberFormat="1" applyBorder="1" applyAlignment="1">
      <alignment horizontal="center" vertical="center"/>
    </xf>
    <xf numFmtId="4" fontId="0" fillId="0" borderId="16" xfId="0" applyNumberFormat="1" applyBorder="1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2" fontId="0" fillId="0" borderId="19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4" fontId="0" fillId="0" borderId="0" xfId="0" applyNumberFormat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3" xfId="0" applyNumberForma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4" fontId="6" fillId="0" borderId="2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0" fillId="3" borderId="25" xfId="0" applyNumberFormat="1" applyFill="1" applyBorder="1" applyProtection="1">
      <protection locked="0"/>
    </xf>
    <xf numFmtId="4" fontId="0" fillId="0" borderId="25" xfId="0" applyNumberFormat="1" applyBorder="1"/>
    <xf numFmtId="4" fontId="0" fillId="3" borderId="4" xfId="0" applyNumberFormat="1" applyFill="1" applyBorder="1" applyProtection="1">
      <protection locked="0"/>
    </xf>
    <xf numFmtId="0" fontId="6" fillId="0" borderId="23" xfId="0" applyFont="1" applyBorder="1" applyAlignment="1">
      <alignment horizontal="center" vertical="center"/>
    </xf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/>
    <xf numFmtId="0" fontId="0" fillId="0" borderId="2" xfId="0" applyBorder="1"/>
    <xf numFmtId="176" fontId="0" fillId="0" borderId="26" xfId="0" applyNumberFormat="1" applyBorder="1"/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22" fillId="0" borderId="0" xfId="0" applyFont="1" applyAlignment="1">
      <alignment horizontal="right"/>
    </xf>
    <xf numFmtId="166" fontId="20" fillId="2" borderId="2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27" fillId="0" borderId="0" xfId="0" applyFont="1"/>
    <xf numFmtId="0" fontId="8" fillId="0" borderId="1" xfId="0" applyFont="1" applyBorder="1"/>
    <xf numFmtId="0" fontId="2" fillId="0" borderId="1" xfId="0" applyFont="1" applyBorder="1"/>
    <xf numFmtId="2" fontId="8" fillId="0" borderId="1" xfId="0" applyNumberFormat="1" applyFont="1" applyBorder="1" applyAlignment="1">
      <alignment horizontal="right"/>
    </xf>
    <xf numFmtId="169" fontId="2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 wrapText="1" shrinkToFit="1"/>
    </xf>
    <xf numFmtId="178" fontId="2" fillId="2" borderId="4" xfId="0" applyNumberFormat="1" applyFont="1" applyFill="1" applyBorder="1" applyProtection="1">
      <protection locked="0"/>
    </xf>
    <xf numFmtId="172" fontId="8" fillId="0" borderId="6" xfId="0" applyNumberFormat="1" applyFont="1" applyBorder="1"/>
    <xf numFmtId="178" fontId="2" fillId="0" borderId="6" xfId="0" applyNumberFormat="1" applyFont="1" applyBorder="1"/>
    <xf numFmtId="175" fontId="2" fillId="2" borderId="1" xfId="0" applyNumberFormat="1" applyFont="1" applyFill="1" applyBorder="1" applyProtection="1">
      <protection locked="0"/>
    </xf>
    <xf numFmtId="175" fontId="8" fillId="0" borderId="3" xfId="0" applyNumberFormat="1" applyFont="1" applyBorder="1"/>
    <xf numFmtId="0" fontId="25" fillId="0" borderId="0" xfId="0" applyFont="1"/>
    <xf numFmtId="4" fontId="0" fillId="0" borderId="25" xfId="0" applyNumberFormat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3" borderId="27" xfId="0" applyNumberFormat="1" applyFill="1" applyBorder="1" applyProtection="1">
      <protection locked="0"/>
    </xf>
    <xf numFmtId="4" fontId="0" fillId="0" borderId="29" xfId="0" applyNumberFormat="1" applyBorder="1"/>
    <xf numFmtId="0" fontId="22" fillId="6" borderId="0" xfId="0" applyFont="1" applyFill="1" applyAlignment="1">
      <alignment horizontal="center"/>
    </xf>
    <xf numFmtId="0" fontId="22" fillId="6" borderId="31" xfId="0" applyFont="1" applyFill="1" applyBorder="1" applyAlignment="1">
      <alignment horizontal="center"/>
    </xf>
    <xf numFmtId="0" fontId="0" fillId="0" borderId="23" xfId="0" applyBorder="1"/>
    <xf numFmtId="0" fontId="22" fillId="3" borderId="0" xfId="0" applyFont="1" applyFill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2" fillId="0" borderId="20" xfId="0" applyFont="1" applyBorder="1"/>
    <xf numFmtId="0" fontId="0" fillId="0" borderId="21" xfId="0" applyBorder="1" applyAlignment="1">
      <alignment horizontal="center"/>
    </xf>
    <xf numFmtId="0" fontId="0" fillId="0" borderId="33" xfId="0" applyBorder="1" applyAlignment="1">
      <alignment horizontal="center"/>
    </xf>
    <xf numFmtId="176" fontId="29" fillId="0" borderId="4" xfId="1" applyNumberFormat="1" applyFont="1" applyBorder="1"/>
    <xf numFmtId="0" fontId="30" fillId="0" borderId="0" xfId="0" applyFont="1" applyAlignment="1">
      <alignment horizontal="left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30" xfId="0" applyNumberFormat="1" applyFill="1" applyBorder="1" applyProtection="1">
      <protection locked="0"/>
    </xf>
    <xf numFmtId="49" fontId="0" fillId="3" borderId="27" xfId="0" applyNumberFormat="1" applyFill="1" applyBorder="1" applyProtection="1"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0" fillId="3" borderId="25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167" fontId="9" fillId="0" borderId="1" xfId="0" applyNumberFormat="1" applyFont="1" applyBorder="1"/>
    <xf numFmtId="168" fontId="8" fillId="0" borderId="3" xfId="0" applyNumberFormat="1" applyFont="1" applyBorder="1"/>
    <xf numFmtId="168" fontId="8" fillId="0" borderId="3" xfId="1" applyNumberFormat="1" applyFont="1" applyBorder="1" applyProtection="1"/>
    <xf numFmtId="167" fontId="8" fillId="0" borderId="1" xfId="0" applyNumberFormat="1" applyFont="1" applyBorder="1" applyAlignment="1">
      <alignment horizontal="center"/>
    </xf>
    <xf numFmtId="172" fontId="2" fillId="0" borderId="4" xfId="0" applyNumberFormat="1" applyFont="1" applyBorder="1" applyAlignment="1">
      <alignment vertical="center"/>
    </xf>
    <xf numFmtId="179" fontId="0" fillId="0" borderId="0" xfId="0" applyNumberFormat="1"/>
    <xf numFmtId="165" fontId="0" fillId="0" borderId="0" xfId="0" applyNumberFormat="1"/>
    <xf numFmtId="2" fontId="0" fillId="0" borderId="0" xfId="0" applyNumberFormat="1"/>
    <xf numFmtId="167" fontId="2" fillId="2" borderId="1" xfId="0" applyNumberFormat="1" applyFont="1" applyFill="1" applyBorder="1" applyAlignment="1" applyProtection="1">
      <alignment horizontal="center"/>
      <protection locked="0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0" fillId="0" borderId="0" xfId="0" applyAlignment="1">
      <alignment horizontal="left"/>
    </xf>
    <xf numFmtId="1" fontId="0" fillId="0" borderId="16" xfId="0" applyNumberFormat="1" applyBorder="1" applyAlignment="1" applyProtection="1">
      <alignment vertical="center"/>
      <protection locked="0"/>
    </xf>
    <xf numFmtId="4" fontId="35" fillId="0" borderId="16" xfId="0" applyNumberFormat="1" applyFont="1" applyBorder="1" applyAlignment="1" applyProtection="1">
      <alignment vertical="center"/>
      <protection locked="0"/>
    </xf>
    <xf numFmtId="166" fontId="20" fillId="2" borderId="0" xfId="0" applyNumberFormat="1" applyFont="1" applyFill="1" applyProtection="1">
      <protection locked="0"/>
    </xf>
    <xf numFmtId="0" fontId="36" fillId="0" borderId="5" xfId="0" applyFont="1" applyBorder="1"/>
    <xf numFmtId="0" fontId="36" fillId="0" borderId="28" xfId="0" applyFont="1" applyBorder="1" applyAlignment="1" applyProtection="1">
      <alignment horizontal="center"/>
      <protection locked="0"/>
    </xf>
    <xf numFmtId="173" fontId="2" fillId="2" borderId="1" xfId="0" applyNumberFormat="1" applyFont="1" applyFill="1" applyBorder="1" applyAlignment="1" applyProtection="1">
      <alignment horizontal="center"/>
      <protection locked="0"/>
    </xf>
    <xf numFmtId="180" fontId="0" fillId="0" borderId="0" xfId="0" applyNumberFormat="1"/>
    <xf numFmtId="49" fontId="8" fillId="0" borderId="1" xfId="0" applyNumberFormat="1" applyFont="1" applyBorder="1" applyAlignment="1">
      <alignment horizontal="center"/>
    </xf>
    <xf numFmtId="173" fontId="41" fillId="0" borderId="1" xfId="0" applyNumberFormat="1" applyFont="1" applyBorder="1"/>
    <xf numFmtId="0" fontId="2" fillId="0" borderId="7" xfId="0" applyFont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76" fontId="0" fillId="0" borderId="46" xfId="0" applyNumberFormat="1" applyBorder="1"/>
    <xf numFmtId="175" fontId="8" fillId="0" borderId="0" xfId="0" applyNumberFormat="1" applyFont="1"/>
    <xf numFmtId="0" fontId="0" fillId="0" borderId="12" xfId="0" applyBorder="1" applyProtection="1">
      <protection locked="0"/>
    </xf>
    <xf numFmtId="0" fontId="23" fillId="0" borderId="24" xfId="0" applyFont="1" applyBorder="1" applyProtection="1">
      <protection locked="0"/>
    </xf>
    <xf numFmtId="0" fontId="22" fillId="0" borderId="24" xfId="0" applyFont="1" applyBorder="1" applyAlignment="1" applyProtection="1">
      <alignment horizontal="center"/>
      <protection locked="0"/>
    </xf>
    <xf numFmtId="4" fontId="0" fillId="7" borderId="4" xfId="0" applyNumberFormat="1" applyFill="1" applyBorder="1" applyAlignment="1" applyProtection="1">
      <alignment vertical="center"/>
      <protection locked="0"/>
    </xf>
    <xf numFmtId="4" fontId="0" fillId="7" borderId="0" xfId="0" applyNumberFormat="1" applyFill="1"/>
    <xf numFmtId="0" fontId="26" fillId="0" borderId="0" xfId="0" applyFont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left"/>
    </xf>
    <xf numFmtId="0" fontId="6" fillId="0" borderId="0" xfId="3" applyFont="1" applyAlignment="1">
      <alignment horizontal="right"/>
    </xf>
    <xf numFmtId="0" fontId="2" fillId="0" borderId="0" xfId="2"/>
    <xf numFmtId="0" fontId="44" fillId="0" borderId="0" xfId="2" applyFont="1" applyAlignment="1">
      <alignment horizontal="center"/>
    </xf>
    <xf numFmtId="0" fontId="38" fillId="0" borderId="0" xfId="2" applyFont="1"/>
    <xf numFmtId="0" fontId="6" fillId="0" borderId="0" xfId="2" applyFont="1"/>
    <xf numFmtId="0" fontId="2" fillId="0" borderId="0" xfId="2" applyAlignment="1">
      <alignment horizontal="left"/>
    </xf>
    <xf numFmtId="166" fontId="20" fillId="2" borderId="2" xfId="0" applyNumberFormat="1" applyFont="1" applyFill="1" applyBorder="1"/>
    <xf numFmtId="166" fontId="20" fillId="2" borderId="0" xfId="0" applyNumberFormat="1" applyFont="1" applyFill="1"/>
    <xf numFmtId="4" fontId="0" fillId="0" borderId="16" xfId="0" applyNumberFormat="1" applyBorder="1" applyAlignment="1">
      <alignment vertical="center"/>
    </xf>
    <xf numFmtId="1" fontId="0" fillId="0" borderId="16" xfId="0" applyNumberFormat="1" applyBorder="1" applyAlignment="1">
      <alignment vertical="center"/>
    </xf>
    <xf numFmtId="4" fontId="35" fillId="0" borderId="16" xfId="0" applyNumberFormat="1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2" fontId="0" fillId="0" borderId="15" xfId="0" applyNumberFormat="1" applyBorder="1" applyAlignment="1" applyProtection="1">
      <alignment horizontal="center"/>
      <protection locked="0"/>
    </xf>
    <xf numFmtId="4" fontId="0" fillId="7" borderId="0" xfId="0" applyNumberFormat="1" applyFill="1" applyProtection="1">
      <protection locked="0"/>
    </xf>
    <xf numFmtId="14" fontId="3" fillId="0" borderId="0" xfId="0" applyNumberFormat="1" applyFont="1" applyProtection="1">
      <protection locked="0"/>
    </xf>
    <xf numFmtId="177" fontId="0" fillId="0" borderId="5" xfId="0" applyNumberFormat="1" applyBorder="1"/>
    <xf numFmtId="0" fontId="24" fillId="0" borderId="12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4" fontId="0" fillId="0" borderId="23" xfId="0" applyNumberFormat="1" applyBorder="1"/>
    <xf numFmtId="4" fontId="0" fillId="0" borderId="22" xfId="0" applyNumberFormat="1" applyBorder="1"/>
    <xf numFmtId="176" fontId="2" fillId="8" borderId="2" xfId="1" applyNumberFormat="1" applyFont="1" applyFill="1" applyBorder="1" applyAlignment="1" applyProtection="1">
      <protection locked="0"/>
    </xf>
    <xf numFmtId="0" fontId="0" fillId="8" borderId="2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6" fontId="2" fillId="2" borderId="2" xfId="0" applyNumberFormat="1" applyFont="1" applyFill="1" applyBorder="1" applyProtection="1">
      <protection locked="0"/>
    </xf>
    <xf numFmtId="4" fontId="0" fillId="0" borderId="26" xfId="0" applyNumberFormat="1" applyBorder="1"/>
    <xf numFmtId="170" fontId="2" fillId="0" borderId="4" xfId="1" applyNumberFormat="1" applyFont="1" applyFill="1" applyBorder="1" applyProtection="1">
      <protection locked="0"/>
    </xf>
    <xf numFmtId="171" fontId="2" fillId="0" borderId="4" xfId="1" applyNumberFormat="1" applyFont="1" applyFill="1" applyBorder="1" applyProtection="1">
      <protection locked="0"/>
    </xf>
    <xf numFmtId="173" fontId="2" fillId="0" borderId="4" xfId="0" applyNumberFormat="1" applyFont="1" applyBorder="1" applyProtection="1">
      <protection locked="0"/>
    </xf>
    <xf numFmtId="0" fontId="6" fillId="0" borderId="0" xfId="0" applyFont="1" applyAlignment="1">
      <alignment horizontal="right"/>
    </xf>
    <xf numFmtId="0" fontId="3" fillId="8" borderId="0" xfId="0" applyFont="1" applyFill="1" applyProtection="1">
      <protection locked="0"/>
    </xf>
    <xf numFmtId="0" fontId="0" fillId="8" borderId="0" xfId="0" applyFill="1" applyProtection="1">
      <protection locked="0"/>
    </xf>
    <xf numFmtId="0" fontId="0" fillId="8" borderId="0" xfId="0" applyFill="1"/>
    <xf numFmtId="2" fontId="2" fillId="8" borderId="1" xfId="0" applyNumberFormat="1" applyFont="1" applyFill="1" applyBorder="1" applyAlignment="1" applyProtection="1">
      <alignment horizontal="center"/>
      <protection locked="0"/>
    </xf>
    <xf numFmtId="49" fontId="0" fillId="0" borderId="33" xfId="0" applyNumberFormat="1" applyBorder="1" applyAlignment="1">
      <alignment horizontal="center"/>
    </xf>
    <xf numFmtId="0" fontId="22" fillId="0" borderId="24" xfId="0" applyFont="1" applyBorder="1" applyAlignment="1">
      <alignment horizontal="center"/>
    </xf>
    <xf numFmtId="176" fontId="0" fillId="0" borderId="5" xfId="1" applyNumberFormat="1" applyFont="1" applyFill="1" applyBorder="1"/>
    <xf numFmtId="0" fontId="2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40" fillId="0" borderId="1" xfId="0" applyFont="1" applyBorder="1" applyAlignment="1" applyProtection="1">
      <alignment horizontal="center"/>
      <protection locked="0"/>
    </xf>
    <xf numFmtId="176" fontId="0" fillId="8" borderId="4" xfId="1" applyNumberFormat="1" applyFont="1" applyFill="1" applyBorder="1" applyProtection="1">
      <protection locked="0"/>
    </xf>
    <xf numFmtId="176" fontId="0" fillId="8" borderId="5" xfId="1" applyNumberFormat="1" applyFont="1" applyFill="1" applyBorder="1" applyProtection="1">
      <protection locked="0"/>
    </xf>
    <xf numFmtId="176" fontId="0" fillId="8" borderId="0" xfId="1" applyNumberFormat="1" applyFont="1" applyFill="1" applyBorder="1" applyProtection="1">
      <protection locked="0"/>
    </xf>
    <xf numFmtId="176" fontId="0" fillId="8" borderId="1" xfId="1" applyNumberFormat="1" applyFont="1" applyFill="1" applyBorder="1" applyProtection="1">
      <protection locked="0"/>
    </xf>
    <xf numFmtId="49" fontId="22" fillId="3" borderId="0" xfId="0" applyNumberFormat="1" applyFont="1" applyFill="1" applyAlignment="1" applyProtection="1">
      <alignment horizontal="center"/>
      <protection locked="0"/>
    </xf>
    <xf numFmtId="0" fontId="22" fillId="3" borderId="24" xfId="0" applyFont="1" applyFill="1" applyBorder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2" fontId="2" fillId="8" borderId="1" xfId="3" applyNumberFormat="1" applyFont="1" applyFill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9" fontId="2" fillId="8" borderId="1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Border="1" applyAlignment="1">
      <alignment horizontal="center"/>
    </xf>
    <xf numFmtId="170" fontId="2" fillId="0" borderId="4" xfId="1" applyNumberFormat="1" applyFont="1" applyFill="1" applyBorder="1" applyProtection="1"/>
    <xf numFmtId="173" fontId="2" fillId="0" borderId="4" xfId="0" applyNumberFormat="1" applyFont="1" applyBorder="1"/>
    <xf numFmtId="173" fontId="2" fillId="0" borderId="1" xfId="0" applyNumberFormat="1" applyFont="1" applyBorder="1"/>
    <xf numFmtId="0" fontId="2" fillId="9" borderId="0" xfId="2" applyFill="1" applyAlignment="1">
      <alignment horizontal="left"/>
    </xf>
    <xf numFmtId="0" fontId="2" fillId="9" borderId="0" xfId="2" applyFill="1"/>
    <xf numFmtId="0" fontId="21" fillId="0" borderId="0" xfId="0" applyFont="1" applyAlignment="1">
      <alignment horizontal="right"/>
    </xf>
    <xf numFmtId="0" fontId="0" fillId="8" borderId="36" xfId="0" applyFill="1" applyBorder="1" applyProtection="1">
      <protection locked="0"/>
    </xf>
    <xf numFmtId="0" fontId="0" fillId="8" borderId="7" xfId="0" applyFill="1" applyBorder="1" applyProtection="1">
      <protection locked="0"/>
    </xf>
    <xf numFmtId="0" fontId="2" fillId="0" borderId="0" xfId="2" applyAlignment="1">
      <alignment horizontal="left" vertical="top" wrapText="1"/>
    </xf>
    <xf numFmtId="0" fontId="7" fillId="0" borderId="0" xfId="2" applyFont="1" applyAlignment="1">
      <alignment horizontal="center"/>
    </xf>
    <xf numFmtId="0" fontId="2" fillId="0" borderId="0" xfId="2" applyAlignment="1">
      <alignment horizontal="left" wrapText="1"/>
    </xf>
    <xf numFmtId="0" fontId="44" fillId="0" borderId="0" xfId="2" applyFont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0" fontId="22" fillId="6" borderId="23" xfId="0" applyFont="1" applyFill="1" applyBorder="1" applyAlignment="1">
      <alignment horizontal="center"/>
    </xf>
    <xf numFmtId="176" fontId="2" fillId="8" borderId="2" xfId="1" applyNumberFormat="1" applyFont="1" applyFill="1" applyBorder="1" applyAlignment="1" applyProtection="1">
      <protection locked="0"/>
    </xf>
    <xf numFmtId="176" fontId="2" fillId="8" borderId="3" xfId="1" applyNumberFormat="1" applyFont="1" applyFill="1" applyBorder="1" applyAlignment="1" applyProtection="1">
      <protection locked="0"/>
    </xf>
    <xf numFmtId="176" fontId="8" fillId="8" borderId="2" xfId="1" applyNumberFormat="1" applyFont="1" applyFill="1" applyBorder="1" applyAlignment="1" applyProtection="1">
      <protection locked="0"/>
    </xf>
    <xf numFmtId="176" fontId="8" fillId="8" borderId="3" xfId="1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9" fillId="7" borderId="12" xfId="0" applyFont="1" applyFill="1" applyBorder="1" applyAlignment="1" applyProtection="1">
      <alignment horizontal="center"/>
      <protection locked="0"/>
    </xf>
    <xf numFmtId="0" fontId="39" fillId="7" borderId="14" xfId="0" applyFont="1" applyFill="1" applyBorder="1" applyAlignment="1" applyProtection="1">
      <alignment horizontal="center"/>
      <protection locked="0"/>
    </xf>
    <xf numFmtId="0" fontId="0" fillId="8" borderId="2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4" fillId="0" borderId="0" xfId="0" applyFont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8" borderId="39" xfId="0" applyFill="1" applyBorder="1" applyProtection="1">
      <protection locked="0"/>
    </xf>
    <xf numFmtId="0" fontId="0" fillId="8" borderId="40" xfId="0" applyFill="1" applyBorder="1" applyProtection="1">
      <protection locked="0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0" fillId="8" borderId="43" xfId="0" applyFill="1" applyBorder="1" applyProtection="1">
      <protection locked="0"/>
    </xf>
    <xf numFmtId="0" fontId="0" fillId="8" borderId="44" xfId="0" applyFill="1" applyBorder="1" applyProtection="1">
      <protection locked="0"/>
    </xf>
    <xf numFmtId="4" fontId="0" fillId="3" borderId="2" xfId="0" applyNumberFormat="1" applyFill="1" applyBorder="1" applyAlignment="1" applyProtection="1">
      <alignment horizontal="left"/>
      <protection locked="0"/>
    </xf>
    <xf numFmtId="4" fontId="0" fillId="3" borderId="5" xfId="0" applyNumberFormat="1" applyFill="1" applyBorder="1" applyAlignment="1" applyProtection="1">
      <alignment horizontal="left"/>
      <protection locked="0"/>
    </xf>
    <xf numFmtId="0" fontId="7" fillId="0" borderId="45" xfId="0" applyFont="1" applyBorder="1" applyAlignment="1">
      <alignment horizontal="center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5" fillId="0" borderId="0" xfId="0" applyFont="1" applyAlignment="1">
      <alignment horizontal="center"/>
    </xf>
    <xf numFmtId="4" fontId="0" fillId="3" borderId="39" xfId="0" applyNumberFormat="1" applyFill="1" applyBorder="1" applyAlignment="1" applyProtection="1">
      <alignment horizontal="left"/>
      <protection locked="0"/>
    </xf>
    <xf numFmtId="4" fontId="0" fillId="3" borderId="40" xfId="0" applyNumberFormat="1" applyFill="1" applyBorder="1" applyAlignment="1" applyProtection="1">
      <alignment horizontal="left"/>
      <protection locked="0"/>
    </xf>
    <xf numFmtId="0" fontId="7" fillId="6" borderId="20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2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/>
    <xf numFmtId="0" fontId="2" fillId="0" borderId="5" xfId="0" applyFont="1" applyBorder="1"/>
    <xf numFmtId="166" fontId="2" fillId="0" borderId="2" xfId="0" applyNumberFormat="1" applyFont="1" applyBorder="1"/>
    <xf numFmtId="166" fontId="2" fillId="0" borderId="5" xfId="0" applyNumberFormat="1" applyFont="1" applyBorder="1"/>
    <xf numFmtId="166" fontId="8" fillId="0" borderId="2" xfId="0" applyNumberFormat="1" applyFont="1" applyBorder="1"/>
    <xf numFmtId="166" fontId="8" fillId="0" borderId="5" xfId="0" applyNumberFormat="1" applyFont="1" applyBorder="1"/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1" fillId="0" borderId="5" xfId="0" applyFont="1" applyBorder="1"/>
    <xf numFmtId="0" fontId="6" fillId="0" borderId="0" xfId="0" applyFont="1" applyAlignment="1" applyProtection="1">
      <alignment horizontal="center"/>
      <protection locked="0"/>
    </xf>
    <xf numFmtId="0" fontId="6" fillId="4" borderId="9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39" fillId="0" borderId="12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49" fontId="22" fillId="0" borderId="37" xfId="0" applyNumberFormat="1" applyFont="1" applyBorder="1" applyAlignment="1">
      <alignment horizontal="center"/>
    </xf>
    <xf numFmtId="49" fontId="22" fillId="0" borderId="31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6" fontId="2" fillId="8" borderId="2" xfId="1" applyNumberFormat="1" applyFont="1" applyFill="1" applyBorder="1" applyAlignment="1" applyProtection="1">
      <alignment horizontal="center"/>
      <protection locked="0"/>
    </xf>
    <xf numFmtId="176" fontId="2" fillId="8" borderId="5" xfId="1" applyNumberFormat="1" applyFont="1" applyFill="1" applyBorder="1" applyAlignment="1" applyProtection="1">
      <alignment horizontal="center"/>
      <protection locked="0"/>
    </xf>
    <xf numFmtId="176" fontId="0" fillId="8" borderId="2" xfId="1" applyNumberFormat="1" applyFont="1" applyFill="1" applyBorder="1" applyAlignment="1" applyProtection="1">
      <alignment horizontal="center"/>
      <protection locked="0"/>
    </xf>
    <xf numFmtId="176" fontId="0" fillId="8" borderId="5" xfId="1" applyNumberFormat="1" applyFont="1" applyFill="1" applyBorder="1" applyAlignment="1" applyProtection="1">
      <alignment horizontal="center"/>
      <protection locked="0"/>
    </xf>
    <xf numFmtId="176" fontId="2" fillId="8" borderId="3" xfId="1" applyNumberFormat="1" applyFont="1" applyFill="1" applyBorder="1" applyAlignment="1" applyProtection="1">
      <alignment horizontal="center"/>
      <protection locked="0"/>
    </xf>
    <xf numFmtId="176" fontId="29" fillId="0" borderId="2" xfId="1" applyNumberFormat="1" applyFont="1" applyBorder="1" applyAlignment="1">
      <alignment horizontal="center"/>
    </xf>
    <xf numFmtId="176" fontId="29" fillId="0" borderId="5" xfId="1" applyNumberFormat="1" applyFont="1" applyBorder="1" applyAlignment="1">
      <alignment horizontal="center"/>
    </xf>
    <xf numFmtId="176" fontId="0" fillId="0" borderId="46" xfId="0" applyNumberFormat="1" applyBorder="1" applyAlignment="1">
      <alignment horizontal="center"/>
    </xf>
    <xf numFmtId="176" fontId="0" fillId="0" borderId="47" xfId="0" applyNumberFormat="1" applyBorder="1" applyAlignment="1">
      <alignment horizontal="center"/>
    </xf>
    <xf numFmtId="0" fontId="26" fillId="0" borderId="0" xfId="0" applyFont="1" applyAlignment="1">
      <alignment horizontal="center" vertical="center"/>
    </xf>
    <xf numFmtId="167" fontId="8" fillId="0" borderId="2" xfId="1" applyNumberFormat="1" applyFont="1" applyBorder="1" applyAlignment="1" applyProtection="1"/>
    <xf numFmtId="167" fontId="8" fillId="0" borderId="5" xfId="1" applyNumberFormat="1" applyFont="1" applyBorder="1" applyAlignment="1" applyProtection="1"/>
    <xf numFmtId="166" fontId="2" fillId="0" borderId="2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0" fontId="28" fillId="0" borderId="36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 wrapText="1"/>
    </xf>
  </cellXfs>
  <cellStyles count="5">
    <cellStyle name="Millares" xfId="1" builtinId="3"/>
    <cellStyle name="Millares 2" xfId="4" xr:uid="{7BC516AA-D307-405D-9429-8A4C2A66BEB4}"/>
    <cellStyle name="Normal" xfId="0" builtinId="0"/>
    <cellStyle name="Normal 2" xfId="2" xr:uid="{CAF77C71-2754-4E03-8BDC-6B442317C047}"/>
    <cellStyle name="Normal 3" xfId="3" xr:uid="{DF8762B8-F0BC-4D20-8E1B-8D6FFE03E508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39</xdr:row>
      <xdr:rowOff>95250</xdr:rowOff>
    </xdr:from>
    <xdr:to>
      <xdr:col>11</xdr:col>
      <xdr:colOff>209550</xdr:colOff>
      <xdr:row>75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1FEE10-B891-4DEC-A2F6-1F74DF2E1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6657975"/>
          <a:ext cx="7153275" cy="1176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104775</xdr:rowOff>
    </xdr:from>
    <xdr:to>
      <xdr:col>1</xdr:col>
      <xdr:colOff>838200</xdr:colOff>
      <xdr:row>1</xdr:row>
      <xdr:rowOff>276225</xdr:rowOff>
    </xdr:to>
    <xdr:sp macro="" textlink="">
      <xdr:nvSpPr>
        <xdr:cNvPr id="2049" name="Object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0</xdr:row>
      <xdr:rowOff>104775</xdr:rowOff>
    </xdr:from>
    <xdr:to>
      <xdr:col>1</xdr:col>
      <xdr:colOff>838200</xdr:colOff>
      <xdr:row>1</xdr:row>
      <xdr:rowOff>276225</xdr:rowOff>
    </xdr:to>
    <xdr:pic>
      <xdr:nvPicPr>
        <xdr:cNvPr id="2" name="Object 1">
          <a:extLst>
            <a:ext uri="{FF2B5EF4-FFF2-40B4-BE49-F238E27FC236}">
              <a16:creationId xmlns:a16="http://schemas.microsoft.com/office/drawing/2014/main" id="{532D535B-0577-4E79-ADFD-79525921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771650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1</xdr:col>
      <xdr:colOff>542925</xdr:colOff>
      <xdr:row>1</xdr:row>
      <xdr:rowOff>161925</xdr:rowOff>
    </xdr:to>
    <xdr:sp macro="" textlink="">
      <xdr:nvSpPr>
        <xdr:cNvPr id="3073" name="Object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0</xdr:row>
      <xdr:rowOff>104775</xdr:rowOff>
    </xdr:from>
    <xdr:to>
      <xdr:col>1</xdr:col>
      <xdr:colOff>542925</xdr:colOff>
      <xdr:row>1</xdr:row>
      <xdr:rowOff>161925</xdr:rowOff>
    </xdr:to>
    <xdr:pic>
      <xdr:nvPicPr>
        <xdr:cNvPr id="2" name="Object 1">
          <a:extLst>
            <a:ext uri="{FF2B5EF4-FFF2-40B4-BE49-F238E27FC236}">
              <a16:creationId xmlns:a16="http://schemas.microsoft.com/office/drawing/2014/main" id="{683A5F07-A2F6-4059-9863-917A672A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15335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2</xdr:col>
      <xdr:colOff>0</xdr:colOff>
      <xdr:row>3</xdr:row>
      <xdr:rowOff>76200</xdr:rowOff>
    </xdr:to>
    <xdr:pic>
      <xdr:nvPicPr>
        <xdr:cNvPr id="2" name="Picture 3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743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</xdr:col>
      <xdr:colOff>142875</xdr:colOff>
      <xdr:row>2</xdr:row>
      <xdr:rowOff>146084</xdr:rowOff>
    </xdr:to>
    <xdr:pic>
      <xdr:nvPicPr>
        <xdr:cNvPr id="2" name="Picture 2" descr="logo">
          <a:extLst>
            <a:ext uri="{FF2B5EF4-FFF2-40B4-BE49-F238E27FC236}">
              <a16:creationId xmlns:a16="http://schemas.microsoft.com/office/drawing/2014/main" id="{9D06B2F8-E47D-493E-9261-4E7285BF6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1019175" cy="365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266700</xdr:colOff>
      <xdr:row>3</xdr:row>
      <xdr:rowOff>28575</xdr:rowOff>
    </xdr:to>
    <xdr:pic>
      <xdr:nvPicPr>
        <xdr:cNvPr id="2" name="Picture 3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219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B7FD-630D-43D3-AC6F-372825D6E692}">
  <sheetPr codeName="Hoja12">
    <tabColor indexed="12"/>
  </sheetPr>
  <dimension ref="A5:N98"/>
  <sheetViews>
    <sheetView showGridLines="0" zoomScale="80" zoomScaleNormal="80" workbookViewId="0">
      <selection activeCell="C11" sqref="C10:C11"/>
    </sheetView>
  </sheetViews>
  <sheetFormatPr baseColWidth="10" defaultColWidth="11.42578125" defaultRowHeight="12.75"/>
  <cols>
    <col min="1" max="8" width="11.42578125" style="172"/>
    <col min="9" max="9" width="14.28515625" style="172" customWidth="1"/>
    <col min="10" max="10" width="11.42578125" style="172" customWidth="1"/>
    <col min="11" max="264" width="11.42578125" style="172"/>
    <col min="265" max="265" width="14.28515625" style="172" customWidth="1"/>
    <col min="266" max="520" width="11.42578125" style="172"/>
    <col min="521" max="521" width="14.28515625" style="172" customWidth="1"/>
    <col min="522" max="776" width="11.42578125" style="172"/>
    <col min="777" max="777" width="14.28515625" style="172" customWidth="1"/>
    <col min="778" max="1032" width="11.42578125" style="172"/>
    <col min="1033" max="1033" width="14.28515625" style="172" customWidth="1"/>
    <col min="1034" max="1288" width="11.42578125" style="172"/>
    <col min="1289" max="1289" width="14.28515625" style="172" customWidth="1"/>
    <col min="1290" max="1544" width="11.42578125" style="172"/>
    <col min="1545" max="1545" width="14.28515625" style="172" customWidth="1"/>
    <col min="1546" max="1800" width="11.42578125" style="172"/>
    <col min="1801" max="1801" width="14.28515625" style="172" customWidth="1"/>
    <col min="1802" max="2056" width="11.42578125" style="172"/>
    <col min="2057" max="2057" width="14.28515625" style="172" customWidth="1"/>
    <col min="2058" max="2312" width="11.42578125" style="172"/>
    <col min="2313" max="2313" width="14.28515625" style="172" customWidth="1"/>
    <col min="2314" max="2568" width="11.42578125" style="172"/>
    <col min="2569" max="2569" width="14.28515625" style="172" customWidth="1"/>
    <col min="2570" max="2824" width="11.42578125" style="172"/>
    <col min="2825" max="2825" width="14.28515625" style="172" customWidth="1"/>
    <col min="2826" max="3080" width="11.42578125" style="172"/>
    <col min="3081" max="3081" width="14.28515625" style="172" customWidth="1"/>
    <col min="3082" max="3336" width="11.42578125" style="172"/>
    <col min="3337" max="3337" width="14.28515625" style="172" customWidth="1"/>
    <col min="3338" max="3592" width="11.42578125" style="172"/>
    <col min="3593" max="3593" width="14.28515625" style="172" customWidth="1"/>
    <col min="3594" max="3848" width="11.42578125" style="172"/>
    <col min="3849" max="3849" width="14.28515625" style="172" customWidth="1"/>
    <col min="3850" max="4104" width="11.42578125" style="172"/>
    <col min="4105" max="4105" width="14.28515625" style="172" customWidth="1"/>
    <col min="4106" max="4360" width="11.42578125" style="172"/>
    <col min="4361" max="4361" width="14.28515625" style="172" customWidth="1"/>
    <col min="4362" max="4616" width="11.42578125" style="172"/>
    <col min="4617" max="4617" width="14.28515625" style="172" customWidth="1"/>
    <col min="4618" max="4872" width="11.42578125" style="172"/>
    <col min="4873" max="4873" width="14.28515625" style="172" customWidth="1"/>
    <col min="4874" max="5128" width="11.42578125" style="172"/>
    <col min="5129" max="5129" width="14.28515625" style="172" customWidth="1"/>
    <col min="5130" max="5384" width="11.42578125" style="172"/>
    <col min="5385" max="5385" width="14.28515625" style="172" customWidth="1"/>
    <col min="5386" max="5640" width="11.42578125" style="172"/>
    <col min="5641" max="5641" width="14.28515625" style="172" customWidth="1"/>
    <col min="5642" max="5896" width="11.42578125" style="172"/>
    <col min="5897" max="5897" width="14.28515625" style="172" customWidth="1"/>
    <col min="5898" max="6152" width="11.42578125" style="172"/>
    <col min="6153" max="6153" width="14.28515625" style="172" customWidth="1"/>
    <col min="6154" max="6408" width="11.42578125" style="172"/>
    <col min="6409" max="6409" width="14.28515625" style="172" customWidth="1"/>
    <col min="6410" max="6664" width="11.42578125" style="172"/>
    <col min="6665" max="6665" width="14.28515625" style="172" customWidth="1"/>
    <col min="6666" max="6920" width="11.42578125" style="172"/>
    <col min="6921" max="6921" width="14.28515625" style="172" customWidth="1"/>
    <col min="6922" max="7176" width="11.42578125" style="172"/>
    <col min="7177" max="7177" width="14.28515625" style="172" customWidth="1"/>
    <col min="7178" max="7432" width="11.42578125" style="172"/>
    <col min="7433" max="7433" width="14.28515625" style="172" customWidth="1"/>
    <col min="7434" max="7688" width="11.42578125" style="172"/>
    <col min="7689" max="7689" width="14.28515625" style="172" customWidth="1"/>
    <col min="7690" max="7944" width="11.42578125" style="172"/>
    <col min="7945" max="7945" width="14.28515625" style="172" customWidth="1"/>
    <col min="7946" max="8200" width="11.42578125" style="172"/>
    <col min="8201" max="8201" width="14.28515625" style="172" customWidth="1"/>
    <col min="8202" max="8456" width="11.42578125" style="172"/>
    <col min="8457" max="8457" width="14.28515625" style="172" customWidth="1"/>
    <col min="8458" max="8712" width="11.42578125" style="172"/>
    <col min="8713" max="8713" width="14.28515625" style="172" customWidth="1"/>
    <col min="8714" max="8968" width="11.42578125" style="172"/>
    <col min="8969" max="8969" width="14.28515625" style="172" customWidth="1"/>
    <col min="8970" max="9224" width="11.42578125" style="172"/>
    <col min="9225" max="9225" width="14.28515625" style="172" customWidth="1"/>
    <col min="9226" max="9480" width="11.42578125" style="172"/>
    <col min="9481" max="9481" width="14.28515625" style="172" customWidth="1"/>
    <col min="9482" max="9736" width="11.42578125" style="172"/>
    <col min="9737" max="9737" width="14.28515625" style="172" customWidth="1"/>
    <col min="9738" max="9992" width="11.42578125" style="172"/>
    <col min="9993" max="9993" width="14.28515625" style="172" customWidth="1"/>
    <col min="9994" max="10248" width="11.42578125" style="172"/>
    <col min="10249" max="10249" width="14.28515625" style="172" customWidth="1"/>
    <col min="10250" max="10504" width="11.42578125" style="172"/>
    <col min="10505" max="10505" width="14.28515625" style="172" customWidth="1"/>
    <col min="10506" max="10760" width="11.42578125" style="172"/>
    <col min="10761" max="10761" width="14.28515625" style="172" customWidth="1"/>
    <col min="10762" max="11016" width="11.42578125" style="172"/>
    <col min="11017" max="11017" width="14.28515625" style="172" customWidth="1"/>
    <col min="11018" max="11272" width="11.42578125" style="172"/>
    <col min="11273" max="11273" width="14.28515625" style="172" customWidth="1"/>
    <col min="11274" max="11528" width="11.42578125" style="172"/>
    <col min="11529" max="11529" width="14.28515625" style="172" customWidth="1"/>
    <col min="11530" max="11784" width="11.42578125" style="172"/>
    <col min="11785" max="11785" width="14.28515625" style="172" customWidth="1"/>
    <col min="11786" max="12040" width="11.42578125" style="172"/>
    <col min="12041" max="12041" width="14.28515625" style="172" customWidth="1"/>
    <col min="12042" max="12296" width="11.42578125" style="172"/>
    <col min="12297" max="12297" width="14.28515625" style="172" customWidth="1"/>
    <col min="12298" max="12552" width="11.42578125" style="172"/>
    <col min="12553" max="12553" width="14.28515625" style="172" customWidth="1"/>
    <col min="12554" max="12808" width="11.42578125" style="172"/>
    <col min="12809" max="12809" width="14.28515625" style="172" customWidth="1"/>
    <col min="12810" max="13064" width="11.42578125" style="172"/>
    <col min="13065" max="13065" width="14.28515625" style="172" customWidth="1"/>
    <col min="13066" max="13320" width="11.42578125" style="172"/>
    <col min="13321" max="13321" width="14.28515625" style="172" customWidth="1"/>
    <col min="13322" max="13576" width="11.42578125" style="172"/>
    <col min="13577" max="13577" width="14.28515625" style="172" customWidth="1"/>
    <col min="13578" max="13832" width="11.42578125" style="172"/>
    <col min="13833" max="13833" width="14.28515625" style="172" customWidth="1"/>
    <col min="13834" max="14088" width="11.42578125" style="172"/>
    <col min="14089" max="14089" width="14.28515625" style="172" customWidth="1"/>
    <col min="14090" max="14344" width="11.42578125" style="172"/>
    <col min="14345" max="14345" width="14.28515625" style="172" customWidth="1"/>
    <col min="14346" max="14600" width="11.42578125" style="172"/>
    <col min="14601" max="14601" width="14.28515625" style="172" customWidth="1"/>
    <col min="14602" max="14856" width="11.42578125" style="172"/>
    <col min="14857" max="14857" width="14.28515625" style="172" customWidth="1"/>
    <col min="14858" max="15112" width="11.42578125" style="172"/>
    <col min="15113" max="15113" width="14.28515625" style="172" customWidth="1"/>
    <col min="15114" max="15368" width="11.42578125" style="172"/>
    <col min="15369" max="15369" width="14.28515625" style="172" customWidth="1"/>
    <col min="15370" max="15624" width="11.42578125" style="172"/>
    <col min="15625" max="15625" width="14.28515625" style="172" customWidth="1"/>
    <col min="15626" max="15880" width="11.42578125" style="172"/>
    <col min="15881" max="15881" width="14.28515625" style="172" customWidth="1"/>
    <col min="15882" max="16136" width="11.42578125" style="172"/>
    <col min="16137" max="16137" width="14.28515625" style="172" customWidth="1"/>
    <col min="16138" max="16384" width="11.42578125" style="172"/>
  </cols>
  <sheetData>
    <row r="5" spans="1:12" ht="18">
      <c r="A5" s="235" t="s">
        <v>0</v>
      </c>
      <c r="B5" s="235"/>
      <c r="C5" s="235"/>
      <c r="D5" s="235"/>
      <c r="E5" s="235"/>
      <c r="F5" s="235"/>
      <c r="G5" s="235"/>
      <c r="H5" s="235"/>
      <c r="I5" s="235"/>
    </row>
    <row r="7" spans="1:12" ht="16.5">
      <c r="A7" s="237" t="s">
        <v>1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</row>
    <row r="8" spans="1:12" ht="16.5">
      <c r="A8" s="173"/>
      <c r="B8" s="173"/>
      <c r="C8" s="173"/>
      <c r="D8" s="173"/>
      <c r="E8" s="173"/>
      <c r="F8" s="173"/>
      <c r="G8" s="173"/>
      <c r="H8" s="173"/>
      <c r="I8" s="173"/>
    </row>
    <row r="10" spans="1:12" ht="15">
      <c r="A10" s="174" t="s">
        <v>2</v>
      </c>
    </row>
    <row r="11" spans="1:12" ht="15">
      <c r="A11" s="175" t="s">
        <v>3</v>
      </c>
    </row>
    <row r="12" spans="1:12">
      <c r="A12" s="172" t="s">
        <v>4</v>
      </c>
    </row>
    <row r="15" spans="1:12">
      <c r="A15" s="236" t="s">
        <v>5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</row>
    <row r="16" spans="1:12">
      <c r="A16" s="236"/>
      <c r="B16" s="236"/>
      <c r="C16" s="236"/>
      <c r="D16" s="236"/>
      <c r="E16" s="236"/>
      <c r="F16" s="236"/>
      <c r="G16" s="236"/>
      <c r="H16" s="236"/>
      <c r="I16" s="236"/>
      <c r="J16" s="236"/>
      <c r="K16" s="236"/>
    </row>
    <row r="17" spans="1:11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pans="1:11">
      <c r="A18" s="236"/>
      <c r="B18" s="236"/>
      <c r="C18" s="236"/>
      <c r="D18" s="236"/>
      <c r="E18" s="236"/>
      <c r="F18" s="236"/>
      <c r="G18" s="236"/>
      <c r="H18" s="236"/>
      <c r="I18" s="236"/>
      <c r="J18" s="236"/>
      <c r="K18" s="236"/>
    </row>
    <row r="19" spans="1:11">
      <c r="A19" s="176"/>
    </row>
    <row r="20" spans="1:11">
      <c r="A20" s="176" t="s">
        <v>6</v>
      </c>
    </row>
    <row r="21" spans="1:11">
      <c r="A21" s="176"/>
    </row>
    <row r="22" spans="1:11" ht="15" customHeight="1">
      <c r="A22" s="236" t="s">
        <v>7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</row>
    <row r="23" spans="1:11">
      <c r="A23" s="236"/>
      <c r="B23" s="236"/>
      <c r="C23" s="236"/>
      <c r="D23" s="236"/>
      <c r="E23" s="236"/>
      <c r="F23" s="236"/>
      <c r="G23" s="236"/>
      <c r="H23" s="236"/>
      <c r="I23" s="236"/>
      <c r="J23" s="236"/>
      <c r="K23" s="236"/>
    </row>
    <row r="24" spans="1:11">
      <c r="A24" s="236"/>
      <c r="B24" s="236"/>
      <c r="C24" s="236"/>
      <c r="D24" s="236"/>
      <c r="E24" s="236"/>
      <c r="F24" s="236"/>
      <c r="G24" s="236"/>
      <c r="H24" s="236"/>
      <c r="I24" s="236"/>
      <c r="J24" s="236"/>
      <c r="K24" s="236"/>
    </row>
    <row r="25" spans="1:11">
      <c r="A25" s="176"/>
    </row>
    <row r="26" spans="1:11">
      <c r="A26" s="234" t="s">
        <v>8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spans="1:11">
      <c r="A27" s="234"/>
      <c r="B27" s="234"/>
      <c r="C27" s="234"/>
      <c r="D27" s="234"/>
      <c r="E27" s="234"/>
      <c r="F27" s="234"/>
      <c r="G27" s="234"/>
      <c r="H27" s="234"/>
      <c r="I27" s="234"/>
      <c r="J27" s="234"/>
      <c r="K27" s="234"/>
    </row>
    <row r="28" spans="1:11">
      <c r="A28" s="176"/>
    </row>
    <row r="29" spans="1:11">
      <c r="A29" s="176" t="s">
        <v>9</v>
      </c>
    </row>
    <row r="30" spans="1:11">
      <c r="A30" s="176"/>
    </row>
    <row r="31" spans="1:11">
      <c r="A31" s="176"/>
    </row>
    <row r="32" spans="1:11">
      <c r="A32" s="234" t="s">
        <v>10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</row>
    <row r="33" spans="1:14">
      <c r="A33" s="234"/>
      <c r="B33" s="234"/>
      <c r="C33" s="234"/>
      <c r="D33" s="234"/>
      <c r="E33" s="234"/>
      <c r="F33" s="234"/>
      <c r="G33" s="234"/>
      <c r="H33" s="234"/>
      <c r="I33" s="234"/>
      <c r="J33" s="234"/>
      <c r="K33" s="234"/>
    </row>
    <row r="34" spans="1:14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</row>
    <row r="35" spans="1:14">
      <c r="A35" s="234"/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4">
      <c r="A36" s="176" t="s">
        <v>11</v>
      </c>
    </row>
    <row r="37" spans="1:14">
      <c r="A37" s="176" t="s">
        <v>12</v>
      </c>
    </row>
    <row r="38" spans="1:14">
      <c r="A38" s="176"/>
    </row>
    <row r="39" spans="1:14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</row>
    <row r="40" spans="1:14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</row>
    <row r="41" spans="1:14" customFormat="1" ht="15"/>
    <row r="42" spans="1:14" customFormat="1" ht="15"/>
    <row r="43" spans="1:14" customFormat="1" ht="409.5" customHeight="1"/>
    <row r="44" spans="1:14" customFormat="1" ht="15"/>
    <row r="45" spans="1:14" customFormat="1" ht="15"/>
    <row r="46" spans="1:14" customFormat="1" ht="15"/>
    <row r="47" spans="1:14" customFormat="1" ht="15"/>
    <row r="48" spans="1:14" customFormat="1" ht="15"/>
    <row r="49" customFormat="1" ht="15"/>
    <row r="50" customFormat="1" ht="15"/>
    <row r="51" customFormat="1" ht="15"/>
    <row r="52" customFormat="1" ht="15"/>
    <row r="53" customFormat="1" ht="15"/>
    <row r="54" customFormat="1" ht="15"/>
    <row r="55" customFormat="1" ht="15"/>
    <row r="56" customFormat="1" ht="15"/>
    <row r="57" customFormat="1" ht="15"/>
    <row r="58" customFormat="1" ht="15"/>
    <row r="59" customFormat="1" ht="15"/>
    <row r="60" customFormat="1" ht="15"/>
    <row r="61" customFormat="1" ht="15"/>
    <row r="62" customFormat="1" ht="15"/>
    <row r="63" customFormat="1" ht="15"/>
    <row r="64" customFormat="1" ht="15"/>
    <row r="65" customFormat="1" ht="15"/>
    <row r="66" customFormat="1" ht="15"/>
    <row r="67" customFormat="1" ht="15"/>
    <row r="68" customFormat="1" ht="15"/>
    <row r="69" customFormat="1" ht="15"/>
    <row r="70" customFormat="1" ht="15"/>
    <row r="71" customFormat="1" ht="15"/>
    <row r="72" customFormat="1" ht="15"/>
    <row r="73" customFormat="1" ht="15"/>
    <row r="74" customFormat="1" ht="15"/>
    <row r="75" customFormat="1" ht="15"/>
    <row r="76" customFormat="1" ht="15"/>
    <row r="77" customFormat="1" ht="15"/>
    <row r="78" customFormat="1" ht="15"/>
    <row r="79" customFormat="1" ht="15"/>
    <row r="80" customFormat="1" ht="15"/>
    <row r="81" customFormat="1" ht="15"/>
    <row r="82" customFormat="1" ht="15"/>
    <row r="83" customFormat="1" ht="15"/>
    <row r="84" customFormat="1" ht="15"/>
    <row r="85" customFormat="1" ht="15"/>
    <row r="86" customFormat="1" ht="15"/>
    <row r="87" customFormat="1" ht="15"/>
    <row r="88" customFormat="1" ht="15"/>
    <row r="89" customFormat="1" ht="15"/>
    <row r="90" customFormat="1" ht="15"/>
    <row r="91" customFormat="1" ht="15"/>
    <row r="92" customFormat="1" ht="15"/>
    <row r="93" customFormat="1" ht="15"/>
    <row r="94" customFormat="1" ht="15"/>
    <row r="95" customFormat="1" ht="15"/>
    <row r="96" customFormat="1" ht="15"/>
    <row r="97" customFormat="1" ht="15"/>
    <row r="98" customFormat="1" ht="15"/>
  </sheetData>
  <mergeCells count="6">
    <mergeCell ref="A32:K35"/>
    <mergeCell ref="A5:I5"/>
    <mergeCell ref="A15:K18"/>
    <mergeCell ref="A22:K24"/>
    <mergeCell ref="A26:K27"/>
    <mergeCell ref="A7:L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pageSetUpPr fitToPage="1"/>
  </sheetPr>
  <dimension ref="A1:L83"/>
  <sheetViews>
    <sheetView showGridLines="0" tabSelected="1" view="pageBreakPreview" topLeftCell="A27" zoomScale="93" zoomScaleNormal="80" zoomScaleSheetLayoutView="93" workbookViewId="0">
      <selection activeCell="F46" sqref="F46"/>
    </sheetView>
  </sheetViews>
  <sheetFormatPr baseColWidth="10" defaultColWidth="11.42578125" defaultRowHeight="15"/>
  <cols>
    <col min="1" max="1" width="15.28515625" customWidth="1"/>
    <col min="2" max="2" width="15.42578125" customWidth="1"/>
    <col min="3" max="3" width="18.5703125" customWidth="1"/>
    <col min="4" max="4" width="28.28515625" customWidth="1"/>
    <col min="5" max="5" width="20" customWidth="1"/>
    <col min="6" max="6" width="19.7109375" customWidth="1"/>
    <col min="7" max="7" width="20.7109375" customWidth="1"/>
    <col min="8" max="8" width="20.28515625" customWidth="1"/>
    <col min="9" max="9" width="2.7109375" customWidth="1"/>
    <col min="12" max="12" width="11.85546875" customWidth="1"/>
    <col min="257" max="257" width="15.28515625" customWidth="1"/>
    <col min="258" max="258" width="15.42578125" customWidth="1"/>
    <col min="259" max="259" width="13.7109375" customWidth="1"/>
    <col min="260" max="260" width="13.85546875" customWidth="1"/>
    <col min="261" max="262" width="14.85546875" customWidth="1"/>
    <col min="263" max="264" width="18.7109375" customWidth="1"/>
    <col min="265" max="265" width="2.7109375" customWidth="1"/>
    <col min="268" max="268" width="11.85546875" customWidth="1"/>
    <col min="513" max="513" width="15.28515625" customWidth="1"/>
    <col min="514" max="514" width="15.42578125" customWidth="1"/>
    <col min="515" max="515" width="13.7109375" customWidth="1"/>
    <col min="516" max="516" width="13.85546875" customWidth="1"/>
    <col min="517" max="518" width="14.85546875" customWidth="1"/>
    <col min="519" max="520" width="18.7109375" customWidth="1"/>
    <col min="521" max="521" width="2.7109375" customWidth="1"/>
    <col min="524" max="524" width="11.85546875" customWidth="1"/>
    <col min="769" max="769" width="15.28515625" customWidth="1"/>
    <col min="770" max="770" width="15.42578125" customWidth="1"/>
    <col min="771" max="771" width="13.7109375" customWidth="1"/>
    <col min="772" max="772" width="13.85546875" customWidth="1"/>
    <col min="773" max="774" width="14.85546875" customWidth="1"/>
    <col min="775" max="776" width="18.7109375" customWidth="1"/>
    <col min="777" max="777" width="2.7109375" customWidth="1"/>
    <col min="780" max="780" width="11.85546875" customWidth="1"/>
    <col min="1025" max="1025" width="15.28515625" customWidth="1"/>
    <col min="1026" max="1026" width="15.42578125" customWidth="1"/>
    <col min="1027" max="1027" width="13.7109375" customWidth="1"/>
    <col min="1028" max="1028" width="13.85546875" customWidth="1"/>
    <col min="1029" max="1030" width="14.85546875" customWidth="1"/>
    <col min="1031" max="1032" width="18.7109375" customWidth="1"/>
    <col min="1033" max="1033" width="2.7109375" customWidth="1"/>
    <col min="1036" max="1036" width="11.85546875" customWidth="1"/>
    <col min="1281" max="1281" width="15.28515625" customWidth="1"/>
    <col min="1282" max="1282" width="15.42578125" customWidth="1"/>
    <col min="1283" max="1283" width="13.7109375" customWidth="1"/>
    <col min="1284" max="1284" width="13.85546875" customWidth="1"/>
    <col min="1285" max="1286" width="14.85546875" customWidth="1"/>
    <col min="1287" max="1288" width="18.7109375" customWidth="1"/>
    <col min="1289" max="1289" width="2.7109375" customWidth="1"/>
    <col min="1292" max="1292" width="11.85546875" customWidth="1"/>
    <col min="1537" max="1537" width="15.28515625" customWidth="1"/>
    <col min="1538" max="1538" width="15.42578125" customWidth="1"/>
    <col min="1539" max="1539" width="13.7109375" customWidth="1"/>
    <col min="1540" max="1540" width="13.85546875" customWidth="1"/>
    <col min="1541" max="1542" width="14.85546875" customWidth="1"/>
    <col min="1543" max="1544" width="18.7109375" customWidth="1"/>
    <col min="1545" max="1545" width="2.7109375" customWidth="1"/>
    <col min="1548" max="1548" width="11.85546875" customWidth="1"/>
    <col min="1793" max="1793" width="15.28515625" customWidth="1"/>
    <col min="1794" max="1794" width="15.42578125" customWidth="1"/>
    <col min="1795" max="1795" width="13.7109375" customWidth="1"/>
    <col min="1796" max="1796" width="13.85546875" customWidth="1"/>
    <col min="1797" max="1798" width="14.85546875" customWidth="1"/>
    <col min="1799" max="1800" width="18.7109375" customWidth="1"/>
    <col min="1801" max="1801" width="2.7109375" customWidth="1"/>
    <col min="1804" max="1804" width="11.85546875" customWidth="1"/>
    <col min="2049" max="2049" width="15.28515625" customWidth="1"/>
    <col min="2050" max="2050" width="15.42578125" customWidth="1"/>
    <col min="2051" max="2051" width="13.7109375" customWidth="1"/>
    <col min="2052" max="2052" width="13.85546875" customWidth="1"/>
    <col min="2053" max="2054" width="14.85546875" customWidth="1"/>
    <col min="2055" max="2056" width="18.7109375" customWidth="1"/>
    <col min="2057" max="2057" width="2.7109375" customWidth="1"/>
    <col min="2060" max="2060" width="11.85546875" customWidth="1"/>
    <col min="2305" max="2305" width="15.28515625" customWidth="1"/>
    <col min="2306" max="2306" width="15.42578125" customWidth="1"/>
    <col min="2307" max="2307" width="13.7109375" customWidth="1"/>
    <col min="2308" max="2308" width="13.85546875" customWidth="1"/>
    <col min="2309" max="2310" width="14.85546875" customWidth="1"/>
    <col min="2311" max="2312" width="18.7109375" customWidth="1"/>
    <col min="2313" max="2313" width="2.7109375" customWidth="1"/>
    <col min="2316" max="2316" width="11.85546875" customWidth="1"/>
    <col min="2561" max="2561" width="15.28515625" customWidth="1"/>
    <col min="2562" max="2562" width="15.42578125" customWidth="1"/>
    <col min="2563" max="2563" width="13.7109375" customWidth="1"/>
    <col min="2564" max="2564" width="13.85546875" customWidth="1"/>
    <col min="2565" max="2566" width="14.85546875" customWidth="1"/>
    <col min="2567" max="2568" width="18.7109375" customWidth="1"/>
    <col min="2569" max="2569" width="2.7109375" customWidth="1"/>
    <col min="2572" max="2572" width="11.85546875" customWidth="1"/>
    <col min="2817" max="2817" width="15.28515625" customWidth="1"/>
    <col min="2818" max="2818" width="15.42578125" customWidth="1"/>
    <col min="2819" max="2819" width="13.7109375" customWidth="1"/>
    <col min="2820" max="2820" width="13.85546875" customWidth="1"/>
    <col min="2821" max="2822" width="14.85546875" customWidth="1"/>
    <col min="2823" max="2824" width="18.7109375" customWidth="1"/>
    <col min="2825" max="2825" width="2.7109375" customWidth="1"/>
    <col min="2828" max="2828" width="11.85546875" customWidth="1"/>
    <col min="3073" max="3073" width="15.28515625" customWidth="1"/>
    <col min="3074" max="3074" width="15.42578125" customWidth="1"/>
    <col min="3075" max="3075" width="13.7109375" customWidth="1"/>
    <col min="3076" max="3076" width="13.85546875" customWidth="1"/>
    <col min="3077" max="3078" width="14.85546875" customWidth="1"/>
    <col min="3079" max="3080" width="18.7109375" customWidth="1"/>
    <col min="3081" max="3081" width="2.7109375" customWidth="1"/>
    <col min="3084" max="3084" width="11.85546875" customWidth="1"/>
    <col min="3329" max="3329" width="15.28515625" customWidth="1"/>
    <col min="3330" max="3330" width="15.42578125" customWidth="1"/>
    <col min="3331" max="3331" width="13.7109375" customWidth="1"/>
    <col min="3332" max="3332" width="13.85546875" customWidth="1"/>
    <col min="3333" max="3334" width="14.85546875" customWidth="1"/>
    <col min="3335" max="3336" width="18.7109375" customWidth="1"/>
    <col min="3337" max="3337" width="2.7109375" customWidth="1"/>
    <col min="3340" max="3340" width="11.85546875" customWidth="1"/>
    <col min="3585" max="3585" width="15.28515625" customWidth="1"/>
    <col min="3586" max="3586" width="15.42578125" customWidth="1"/>
    <col min="3587" max="3587" width="13.7109375" customWidth="1"/>
    <col min="3588" max="3588" width="13.85546875" customWidth="1"/>
    <col min="3589" max="3590" width="14.85546875" customWidth="1"/>
    <col min="3591" max="3592" width="18.7109375" customWidth="1"/>
    <col min="3593" max="3593" width="2.7109375" customWidth="1"/>
    <col min="3596" max="3596" width="11.85546875" customWidth="1"/>
    <col min="3841" max="3841" width="15.28515625" customWidth="1"/>
    <col min="3842" max="3842" width="15.42578125" customWidth="1"/>
    <col min="3843" max="3843" width="13.7109375" customWidth="1"/>
    <col min="3844" max="3844" width="13.85546875" customWidth="1"/>
    <col min="3845" max="3846" width="14.85546875" customWidth="1"/>
    <col min="3847" max="3848" width="18.7109375" customWidth="1"/>
    <col min="3849" max="3849" width="2.7109375" customWidth="1"/>
    <col min="3852" max="3852" width="11.85546875" customWidth="1"/>
    <col min="4097" max="4097" width="15.28515625" customWidth="1"/>
    <col min="4098" max="4098" width="15.42578125" customWidth="1"/>
    <col min="4099" max="4099" width="13.7109375" customWidth="1"/>
    <col min="4100" max="4100" width="13.85546875" customWidth="1"/>
    <col min="4101" max="4102" width="14.85546875" customWidth="1"/>
    <col min="4103" max="4104" width="18.7109375" customWidth="1"/>
    <col min="4105" max="4105" width="2.7109375" customWidth="1"/>
    <col min="4108" max="4108" width="11.85546875" customWidth="1"/>
    <col min="4353" max="4353" width="15.28515625" customWidth="1"/>
    <col min="4354" max="4354" width="15.42578125" customWidth="1"/>
    <col min="4355" max="4355" width="13.7109375" customWidth="1"/>
    <col min="4356" max="4356" width="13.85546875" customWidth="1"/>
    <col min="4357" max="4358" width="14.85546875" customWidth="1"/>
    <col min="4359" max="4360" width="18.7109375" customWidth="1"/>
    <col min="4361" max="4361" width="2.7109375" customWidth="1"/>
    <col min="4364" max="4364" width="11.85546875" customWidth="1"/>
    <col min="4609" max="4609" width="15.28515625" customWidth="1"/>
    <col min="4610" max="4610" width="15.42578125" customWidth="1"/>
    <col min="4611" max="4611" width="13.7109375" customWidth="1"/>
    <col min="4612" max="4612" width="13.85546875" customWidth="1"/>
    <col min="4613" max="4614" width="14.85546875" customWidth="1"/>
    <col min="4615" max="4616" width="18.7109375" customWidth="1"/>
    <col min="4617" max="4617" width="2.7109375" customWidth="1"/>
    <col min="4620" max="4620" width="11.85546875" customWidth="1"/>
    <col min="4865" max="4865" width="15.28515625" customWidth="1"/>
    <col min="4866" max="4866" width="15.42578125" customWidth="1"/>
    <col min="4867" max="4867" width="13.7109375" customWidth="1"/>
    <col min="4868" max="4868" width="13.85546875" customWidth="1"/>
    <col min="4869" max="4870" width="14.85546875" customWidth="1"/>
    <col min="4871" max="4872" width="18.7109375" customWidth="1"/>
    <col min="4873" max="4873" width="2.7109375" customWidth="1"/>
    <col min="4876" max="4876" width="11.85546875" customWidth="1"/>
    <col min="5121" max="5121" width="15.28515625" customWidth="1"/>
    <col min="5122" max="5122" width="15.42578125" customWidth="1"/>
    <col min="5123" max="5123" width="13.7109375" customWidth="1"/>
    <col min="5124" max="5124" width="13.85546875" customWidth="1"/>
    <col min="5125" max="5126" width="14.85546875" customWidth="1"/>
    <col min="5127" max="5128" width="18.7109375" customWidth="1"/>
    <col min="5129" max="5129" width="2.7109375" customWidth="1"/>
    <col min="5132" max="5132" width="11.85546875" customWidth="1"/>
    <col min="5377" max="5377" width="15.28515625" customWidth="1"/>
    <col min="5378" max="5378" width="15.42578125" customWidth="1"/>
    <col min="5379" max="5379" width="13.7109375" customWidth="1"/>
    <col min="5380" max="5380" width="13.85546875" customWidth="1"/>
    <col min="5381" max="5382" width="14.85546875" customWidth="1"/>
    <col min="5383" max="5384" width="18.7109375" customWidth="1"/>
    <col min="5385" max="5385" width="2.7109375" customWidth="1"/>
    <col min="5388" max="5388" width="11.85546875" customWidth="1"/>
    <col min="5633" max="5633" width="15.28515625" customWidth="1"/>
    <col min="5634" max="5634" width="15.42578125" customWidth="1"/>
    <col min="5635" max="5635" width="13.7109375" customWidth="1"/>
    <col min="5636" max="5636" width="13.85546875" customWidth="1"/>
    <col min="5637" max="5638" width="14.85546875" customWidth="1"/>
    <col min="5639" max="5640" width="18.7109375" customWidth="1"/>
    <col min="5641" max="5641" width="2.7109375" customWidth="1"/>
    <col min="5644" max="5644" width="11.85546875" customWidth="1"/>
    <col min="5889" max="5889" width="15.28515625" customWidth="1"/>
    <col min="5890" max="5890" width="15.42578125" customWidth="1"/>
    <col min="5891" max="5891" width="13.7109375" customWidth="1"/>
    <col min="5892" max="5892" width="13.85546875" customWidth="1"/>
    <col min="5893" max="5894" width="14.85546875" customWidth="1"/>
    <col min="5895" max="5896" width="18.7109375" customWidth="1"/>
    <col min="5897" max="5897" width="2.7109375" customWidth="1"/>
    <col min="5900" max="5900" width="11.85546875" customWidth="1"/>
    <col min="6145" max="6145" width="15.28515625" customWidth="1"/>
    <col min="6146" max="6146" width="15.42578125" customWidth="1"/>
    <col min="6147" max="6147" width="13.7109375" customWidth="1"/>
    <col min="6148" max="6148" width="13.85546875" customWidth="1"/>
    <col min="6149" max="6150" width="14.85546875" customWidth="1"/>
    <col min="6151" max="6152" width="18.7109375" customWidth="1"/>
    <col min="6153" max="6153" width="2.7109375" customWidth="1"/>
    <col min="6156" max="6156" width="11.85546875" customWidth="1"/>
    <col min="6401" max="6401" width="15.28515625" customWidth="1"/>
    <col min="6402" max="6402" width="15.42578125" customWidth="1"/>
    <col min="6403" max="6403" width="13.7109375" customWidth="1"/>
    <col min="6404" max="6404" width="13.85546875" customWidth="1"/>
    <col min="6405" max="6406" width="14.85546875" customWidth="1"/>
    <col min="6407" max="6408" width="18.7109375" customWidth="1"/>
    <col min="6409" max="6409" width="2.7109375" customWidth="1"/>
    <col min="6412" max="6412" width="11.85546875" customWidth="1"/>
    <col min="6657" max="6657" width="15.28515625" customWidth="1"/>
    <col min="6658" max="6658" width="15.42578125" customWidth="1"/>
    <col min="6659" max="6659" width="13.7109375" customWidth="1"/>
    <col min="6660" max="6660" width="13.85546875" customWidth="1"/>
    <col min="6661" max="6662" width="14.85546875" customWidth="1"/>
    <col min="6663" max="6664" width="18.7109375" customWidth="1"/>
    <col min="6665" max="6665" width="2.7109375" customWidth="1"/>
    <col min="6668" max="6668" width="11.85546875" customWidth="1"/>
    <col min="6913" max="6913" width="15.28515625" customWidth="1"/>
    <col min="6914" max="6914" width="15.42578125" customWidth="1"/>
    <col min="6915" max="6915" width="13.7109375" customWidth="1"/>
    <col min="6916" max="6916" width="13.85546875" customWidth="1"/>
    <col min="6917" max="6918" width="14.85546875" customWidth="1"/>
    <col min="6919" max="6920" width="18.7109375" customWidth="1"/>
    <col min="6921" max="6921" width="2.7109375" customWidth="1"/>
    <col min="6924" max="6924" width="11.85546875" customWidth="1"/>
    <col min="7169" max="7169" width="15.28515625" customWidth="1"/>
    <col min="7170" max="7170" width="15.42578125" customWidth="1"/>
    <col min="7171" max="7171" width="13.7109375" customWidth="1"/>
    <col min="7172" max="7172" width="13.85546875" customWidth="1"/>
    <col min="7173" max="7174" width="14.85546875" customWidth="1"/>
    <col min="7175" max="7176" width="18.7109375" customWidth="1"/>
    <col min="7177" max="7177" width="2.7109375" customWidth="1"/>
    <col min="7180" max="7180" width="11.85546875" customWidth="1"/>
    <col min="7425" max="7425" width="15.28515625" customWidth="1"/>
    <col min="7426" max="7426" width="15.42578125" customWidth="1"/>
    <col min="7427" max="7427" width="13.7109375" customWidth="1"/>
    <col min="7428" max="7428" width="13.85546875" customWidth="1"/>
    <col min="7429" max="7430" width="14.85546875" customWidth="1"/>
    <col min="7431" max="7432" width="18.7109375" customWidth="1"/>
    <col min="7433" max="7433" width="2.7109375" customWidth="1"/>
    <col min="7436" max="7436" width="11.85546875" customWidth="1"/>
    <col min="7681" max="7681" width="15.28515625" customWidth="1"/>
    <col min="7682" max="7682" width="15.42578125" customWidth="1"/>
    <col min="7683" max="7683" width="13.7109375" customWidth="1"/>
    <col min="7684" max="7684" width="13.85546875" customWidth="1"/>
    <col min="7685" max="7686" width="14.85546875" customWidth="1"/>
    <col min="7687" max="7688" width="18.7109375" customWidth="1"/>
    <col min="7689" max="7689" width="2.7109375" customWidth="1"/>
    <col min="7692" max="7692" width="11.85546875" customWidth="1"/>
    <col min="7937" max="7937" width="15.28515625" customWidth="1"/>
    <col min="7938" max="7938" width="15.42578125" customWidth="1"/>
    <col min="7939" max="7939" width="13.7109375" customWidth="1"/>
    <col min="7940" max="7940" width="13.85546875" customWidth="1"/>
    <col min="7941" max="7942" width="14.85546875" customWidth="1"/>
    <col min="7943" max="7944" width="18.7109375" customWidth="1"/>
    <col min="7945" max="7945" width="2.7109375" customWidth="1"/>
    <col min="7948" max="7948" width="11.85546875" customWidth="1"/>
    <col min="8193" max="8193" width="15.28515625" customWidth="1"/>
    <col min="8194" max="8194" width="15.42578125" customWidth="1"/>
    <col min="8195" max="8195" width="13.7109375" customWidth="1"/>
    <col min="8196" max="8196" width="13.85546875" customWidth="1"/>
    <col min="8197" max="8198" width="14.85546875" customWidth="1"/>
    <col min="8199" max="8200" width="18.7109375" customWidth="1"/>
    <col min="8201" max="8201" width="2.7109375" customWidth="1"/>
    <col min="8204" max="8204" width="11.85546875" customWidth="1"/>
    <col min="8449" max="8449" width="15.28515625" customWidth="1"/>
    <col min="8450" max="8450" width="15.42578125" customWidth="1"/>
    <col min="8451" max="8451" width="13.7109375" customWidth="1"/>
    <col min="8452" max="8452" width="13.85546875" customWidth="1"/>
    <col min="8453" max="8454" width="14.85546875" customWidth="1"/>
    <col min="8455" max="8456" width="18.7109375" customWidth="1"/>
    <col min="8457" max="8457" width="2.7109375" customWidth="1"/>
    <col min="8460" max="8460" width="11.85546875" customWidth="1"/>
    <col min="8705" max="8705" width="15.28515625" customWidth="1"/>
    <col min="8706" max="8706" width="15.42578125" customWidth="1"/>
    <col min="8707" max="8707" width="13.7109375" customWidth="1"/>
    <col min="8708" max="8708" width="13.85546875" customWidth="1"/>
    <col min="8709" max="8710" width="14.85546875" customWidth="1"/>
    <col min="8711" max="8712" width="18.7109375" customWidth="1"/>
    <col min="8713" max="8713" width="2.7109375" customWidth="1"/>
    <col min="8716" max="8716" width="11.85546875" customWidth="1"/>
    <col min="8961" max="8961" width="15.28515625" customWidth="1"/>
    <col min="8962" max="8962" width="15.42578125" customWidth="1"/>
    <col min="8963" max="8963" width="13.7109375" customWidth="1"/>
    <col min="8964" max="8964" width="13.85546875" customWidth="1"/>
    <col min="8965" max="8966" width="14.85546875" customWidth="1"/>
    <col min="8967" max="8968" width="18.7109375" customWidth="1"/>
    <col min="8969" max="8969" width="2.7109375" customWidth="1"/>
    <col min="8972" max="8972" width="11.85546875" customWidth="1"/>
    <col min="9217" max="9217" width="15.28515625" customWidth="1"/>
    <col min="9218" max="9218" width="15.42578125" customWidth="1"/>
    <col min="9219" max="9219" width="13.7109375" customWidth="1"/>
    <col min="9220" max="9220" width="13.85546875" customWidth="1"/>
    <col min="9221" max="9222" width="14.85546875" customWidth="1"/>
    <col min="9223" max="9224" width="18.7109375" customWidth="1"/>
    <col min="9225" max="9225" width="2.7109375" customWidth="1"/>
    <col min="9228" max="9228" width="11.85546875" customWidth="1"/>
    <col min="9473" max="9473" width="15.28515625" customWidth="1"/>
    <col min="9474" max="9474" width="15.42578125" customWidth="1"/>
    <col min="9475" max="9475" width="13.7109375" customWidth="1"/>
    <col min="9476" max="9476" width="13.85546875" customWidth="1"/>
    <col min="9477" max="9478" width="14.85546875" customWidth="1"/>
    <col min="9479" max="9480" width="18.7109375" customWidth="1"/>
    <col min="9481" max="9481" width="2.7109375" customWidth="1"/>
    <col min="9484" max="9484" width="11.85546875" customWidth="1"/>
    <col min="9729" max="9729" width="15.28515625" customWidth="1"/>
    <col min="9730" max="9730" width="15.42578125" customWidth="1"/>
    <col min="9731" max="9731" width="13.7109375" customWidth="1"/>
    <col min="9732" max="9732" width="13.85546875" customWidth="1"/>
    <col min="9733" max="9734" width="14.85546875" customWidth="1"/>
    <col min="9735" max="9736" width="18.7109375" customWidth="1"/>
    <col min="9737" max="9737" width="2.7109375" customWidth="1"/>
    <col min="9740" max="9740" width="11.85546875" customWidth="1"/>
    <col min="9985" max="9985" width="15.28515625" customWidth="1"/>
    <col min="9986" max="9986" width="15.42578125" customWidth="1"/>
    <col min="9987" max="9987" width="13.7109375" customWidth="1"/>
    <col min="9988" max="9988" width="13.85546875" customWidth="1"/>
    <col min="9989" max="9990" width="14.85546875" customWidth="1"/>
    <col min="9991" max="9992" width="18.7109375" customWidth="1"/>
    <col min="9993" max="9993" width="2.7109375" customWidth="1"/>
    <col min="9996" max="9996" width="11.85546875" customWidth="1"/>
    <col min="10241" max="10241" width="15.28515625" customWidth="1"/>
    <col min="10242" max="10242" width="15.42578125" customWidth="1"/>
    <col min="10243" max="10243" width="13.7109375" customWidth="1"/>
    <col min="10244" max="10244" width="13.85546875" customWidth="1"/>
    <col min="10245" max="10246" width="14.85546875" customWidth="1"/>
    <col min="10247" max="10248" width="18.7109375" customWidth="1"/>
    <col min="10249" max="10249" width="2.7109375" customWidth="1"/>
    <col min="10252" max="10252" width="11.85546875" customWidth="1"/>
    <col min="10497" max="10497" width="15.28515625" customWidth="1"/>
    <col min="10498" max="10498" width="15.42578125" customWidth="1"/>
    <col min="10499" max="10499" width="13.7109375" customWidth="1"/>
    <col min="10500" max="10500" width="13.85546875" customWidth="1"/>
    <col min="10501" max="10502" width="14.85546875" customWidth="1"/>
    <col min="10503" max="10504" width="18.7109375" customWidth="1"/>
    <col min="10505" max="10505" width="2.7109375" customWidth="1"/>
    <col min="10508" max="10508" width="11.85546875" customWidth="1"/>
    <col min="10753" max="10753" width="15.28515625" customWidth="1"/>
    <col min="10754" max="10754" width="15.42578125" customWidth="1"/>
    <col min="10755" max="10755" width="13.7109375" customWidth="1"/>
    <col min="10756" max="10756" width="13.85546875" customWidth="1"/>
    <col min="10757" max="10758" width="14.85546875" customWidth="1"/>
    <col min="10759" max="10760" width="18.7109375" customWidth="1"/>
    <col min="10761" max="10761" width="2.7109375" customWidth="1"/>
    <col min="10764" max="10764" width="11.85546875" customWidth="1"/>
    <col min="11009" max="11009" width="15.28515625" customWidth="1"/>
    <col min="11010" max="11010" width="15.42578125" customWidth="1"/>
    <col min="11011" max="11011" width="13.7109375" customWidth="1"/>
    <col min="11012" max="11012" width="13.85546875" customWidth="1"/>
    <col min="11013" max="11014" width="14.85546875" customWidth="1"/>
    <col min="11015" max="11016" width="18.7109375" customWidth="1"/>
    <col min="11017" max="11017" width="2.7109375" customWidth="1"/>
    <col min="11020" max="11020" width="11.85546875" customWidth="1"/>
    <col min="11265" max="11265" width="15.28515625" customWidth="1"/>
    <col min="11266" max="11266" width="15.42578125" customWidth="1"/>
    <col min="11267" max="11267" width="13.7109375" customWidth="1"/>
    <col min="11268" max="11268" width="13.85546875" customWidth="1"/>
    <col min="11269" max="11270" width="14.85546875" customWidth="1"/>
    <col min="11271" max="11272" width="18.7109375" customWidth="1"/>
    <col min="11273" max="11273" width="2.7109375" customWidth="1"/>
    <col min="11276" max="11276" width="11.85546875" customWidth="1"/>
    <col min="11521" max="11521" width="15.28515625" customWidth="1"/>
    <col min="11522" max="11522" width="15.42578125" customWidth="1"/>
    <col min="11523" max="11523" width="13.7109375" customWidth="1"/>
    <col min="11524" max="11524" width="13.85546875" customWidth="1"/>
    <col min="11525" max="11526" width="14.85546875" customWidth="1"/>
    <col min="11527" max="11528" width="18.7109375" customWidth="1"/>
    <col min="11529" max="11529" width="2.7109375" customWidth="1"/>
    <col min="11532" max="11532" width="11.85546875" customWidth="1"/>
    <col min="11777" max="11777" width="15.28515625" customWidth="1"/>
    <col min="11778" max="11778" width="15.42578125" customWidth="1"/>
    <col min="11779" max="11779" width="13.7109375" customWidth="1"/>
    <col min="11780" max="11780" width="13.85546875" customWidth="1"/>
    <col min="11781" max="11782" width="14.85546875" customWidth="1"/>
    <col min="11783" max="11784" width="18.7109375" customWidth="1"/>
    <col min="11785" max="11785" width="2.7109375" customWidth="1"/>
    <col min="11788" max="11788" width="11.85546875" customWidth="1"/>
    <col min="12033" max="12033" width="15.28515625" customWidth="1"/>
    <col min="12034" max="12034" width="15.42578125" customWidth="1"/>
    <col min="12035" max="12035" width="13.7109375" customWidth="1"/>
    <col min="12036" max="12036" width="13.85546875" customWidth="1"/>
    <col min="12037" max="12038" width="14.85546875" customWidth="1"/>
    <col min="12039" max="12040" width="18.7109375" customWidth="1"/>
    <col min="12041" max="12041" width="2.7109375" customWidth="1"/>
    <col min="12044" max="12044" width="11.85546875" customWidth="1"/>
    <col min="12289" max="12289" width="15.28515625" customWidth="1"/>
    <col min="12290" max="12290" width="15.42578125" customWidth="1"/>
    <col min="12291" max="12291" width="13.7109375" customWidth="1"/>
    <col min="12292" max="12292" width="13.85546875" customWidth="1"/>
    <col min="12293" max="12294" width="14.85546875" customWidth="1"/>
    <col min="12295" max="12296" width="18.7109375" customWidth="1"/>
    <col min="12297" max="12297" width="2.7109375" customWidth="1"/>
    <col min="12300" max="12300" width="11.85546875" customWidth="1"/>
    <col min="12545" max="12545" width="15.28515625" customWidth="1"/>
    <col min="12546" max="12546" width="15.42578125" customWidth="1"/>
    <col min="12547" max="12547" width="13.7109375" customWidth="1"/>
    <col min="12548" max="12548" width="13.85546875" customWidth="1"/>
    <col min="12549" max="12550" width="14.85546875" customWidth="1"/>
    <col min="12551" max="12552" width="18.7109375" customWidth="1"/>
    <col min="12553" max="12553" width="2.7109375" customWidth="1"/>
    <col min="12556" max="12556" width="11.85546875" customWidth="1"/>
    <col min="12801" max="12801" width="15.28515625" customWidth="1"/>
    <col min="12802" max="12802" width="15.42578125" customWidth="1"/>
    <col min="12803" max="12803" width="13.7109375" customWidth="1"/>
    <col min="12804" max="12804" width="13.85546875" customWidth="1"/>
    <col min="12805" max="12806" width="14.85546875" customWidth="1"/>
    <col min="12807" max="12808" width="18.7109375" customWidth="1"/>
    <col min="12809" max="12809" width="2.7109375" customWidth="1"/>
    <col min="12812" max="12812" width="11.85546875" customWidth="1"/>
    <col min="13057" max="13057" width="15.28515625" customWidth="1"/>
    <col min="13058" max="13058" width="15.42578125" customWidth="1"/>
    <col min="13059" max="13059" width="13.7109375" customWidth="1"/>
    <col min="13060" max="13060" width="13.85546875" customWidth="1"/>
    <col min="13061" max="13062" width="14.85546875" customWidth="1"/>
    <col min="13063" max="13064" width="18.7109375" customWidth="1"/>
    <col min="13065" max="13065" width="2.7109375" customWidth="1"/>
    <col min="13068" max="13068" width="11.85546875" customWidth="1"/>
    <col min="13313" max="13313" width="15.28515625" customWidth="1"/>
    <col min="13314" max="13314" width="15.42578125" customWidth="1"/>
    <col min="13315" max="13315" width="13.7109375" customWidth="1"/>
    <col min="13316" max="13316" width="13.85546875" customWidth="1"/>
    <col min="13317" max="13318" width="14.85546875" customWidth="1"/>
    <col min="13319" max="13320" width="18.7109375" customWidth="1"/>
    <col min="13321" max="13321" width="2.7109375" customWidth="1"/>
    <col min="13324" max="13324" width="11.85546875" customWidth="1"/>
    <col min="13569" max="13569" width="15.28515625" customWidth="1"/>
    <col min="13570" max="13570" width="15.42578125" customWidth="1"/>
    <col min="13571" max="13571" width="13.7109375" customWidth="1"/>
    <col min="13572" max="13572" width="13.85546875" customWidth="1"/>
    <col min="13573" max="13574" width="14.85546875" customWidth="1"/>
    <col min="13575" max="13576" width="18.7109375" customWidth="1"/>
    <col min="13577" max="13577" width="2.7109375" customWidth="1"/>
    <col min="13580" max="13580" width="11.85546875" customWidth="1"/>
    <col min="13825" max="13825" width="15.28515625" customWidth="1"/>
    <col min="13826" max="13826" width="15.42578125" customWidth="1"/>
    <col min="13827" max="13827" width="13.7109375" customWidth="1"/>
    <col min="13828" max="13828" width="13.85546875" customWidth="1"/>
    <col min="13829" max="13830" width="14.85546875" customWidth="1"/>
    <col min="13831" max="13832" width="18.7109375" customWidth="1"/>
    <col min="13833" max="13833" width="2.7109375" customWidth="1"/>
    <col min="13836" max="13836" width="11.85546875" customWidth="1"/>
    <col min="14081" max="14081" width="15.28515625" customWidth="1"/>
    <col min="14082" max="14082" width="15.42578125" customWidth="1"/>
    <col min="14083" max="14083" width="13.7109375" customWidth="1"/>
    <col min="14084" max="14084" width="13.85546875" customWidth="1"/>
    <col min="14085" max="14086" width="14.85546875" customWidth="1"/>
    <col min="14087" max="14088" width="18.7109375" customWidth="1"/>
    <col min="14089" max="14089" width="2.7109375" customWidth="1"/>
    <col min="14092" max="14092" width="11.85546875" customWidth="1"/>
    <col min="14337" max="14337" width="15.28515625" customWidth="1"/>
    <col min="14338" max="14338" width="15.42578125" customWidth="1"/>
    <col min="14339" max="14339" width="13.7109375" customWidth="1"/>
    <col min="14340" max="14340" width="13.85546875" customWidth="1"/>
    <col min="14341" max="14342" width="14.85546875" customWidth="1"/>
    <col min="14343" max="14344" width="18.7109375" customWidth="1"/>
    <col min="14345" max="14345" width="2.7109375" customWidth="1"/>
    <col min="14348" max="14348" width="11.85546875" customWidth="1"/>
    <col min="14593" max="14593" width="15.28515625" customWidth="1"/>
    <col min="14594" max="14594" width="15.42578125" customWidth="1"/>
    <col min="14595" max="14595" width="13.7109375" customWidth="1"/>
    <col min="14596" max="14596" width="13.85546875" customWidth="1"/>
    <col min="14597" max="14598" width="14.85546875" customWidth="1"/>
    <col min="14599" max="14600" width="18.7109375" customWidth="1"/>
    <col min="14601" max="14601" width="2.7109375" customWidth="1"/>
    <col min="14604" max="14604" width="11.85546875" customWidth="1"/>
    <col min="14849" max="14849" width="15.28515625" customWidth="1"/>
    <col min="14850" max="14850" width="15.42578125" customWidth="1"/>
    <col min="14851" max="14851" width="13.7109375" customWidth="1"/>
    <col min="14852" max="14852" width="13.85546875" customWidth="1"/>
    <col min="14853" max="14854" width="14.85546875" customWidth="1"/>
    <col min="14855" max="14856" width="18.7109375" customWidth="1"/>
    <col min="14857" max="14857" width="2.7109375" customWidth="1"/>
    <col min="14860" max="14860" width="11.85546875" customWidth="1"/>
    <col min="15105" max="15105" width="15.28515625" customWidth="1"/>
    <col min="15106" max="15106" width="15.42578125" customWidth="1"/>
    <col min="15107" max="15107" width="13.7109375" customWidth="1"/>
    <col min="15108" max="15108" width="13.85546875" customWidth="1"/>
    <col min="15109" max="15110" width="14.85546875" customWidth="1"/>
    <col min="15111" max="15112" width="18.7109375" customWidth="1"/>
    <col min="15113" max="15113" width="2.7109375" customWidth="1"/>
    <col min="15116" max="15116" width="11.85546875" customWidth="1"/>
    <col min="15361" max="15361" width="15.28515625" customWidth="1"/>
    <col min="15362" max="15362" width="15.42578125" customWidth="1"/>
    <col min="15363" max="15363" width="13.7109375" customWidth="1"/>
    <col min="15364" max="15364" width="13.85546875" customWidth="1"/>
    <col min="15365" max="15366" width="14.85546875" customWidth="1"/>
    <col min="15367" max="15368" width="18.7109375" customWidth="1"/>
    <col min="15369" max="15369" width="2.7109375" customWidth="1"/>
    <col min="15372" max="15372" width="11.85546875" customWidth="1"/>
    <col min="15617" max="15617" width="15.28515625" customWidth="1"/>
    <col min="15618" max="15618" width="15.42578125" customWidth="1"/>
    <col min="15619" max="15619" width="13.7109375" customWidth="1"/>
    <col min="15620" max="15620" width="13.85546875" customWidth="1"/>
    <col min="15621" max="15622" width="14.85546875" customWidth="1"/>
    <col min="15623" max="15624" width="18.7109375" customWidth="1"/>
    <col min="15625" max="15625" width="2.7109375" customWidth="1"/>
    <col min="15628" max="15628" width="11.85546875" customWidth="1"/>
    <col min="15873" max="15873" width="15.28515625" customWidth="1"/>
    <col min="15874" max="15874" width="15.42578125" customWidth="1"/>
    <col min="15875" max="15875" width="13.7109375" customWidth="1"/>
    <col min="15876" max="15876" width="13.85546875" customWidth="1"/>
    <col min="15877" max="15878" width="14.85546875" customWidth="1"/>
    <col min="15879" max="15880" width="18.7109375" customWidth="1"/>
    <col min="15881" max="15881" width="2.7109375" customWidth="1"/>
    <col min="15884" max="15884" width="11.85546875" customWidth="1"/>
    <col min="16129" max="16129" width="15.28515625" customWidth="1"/>
    <col min="16130" max="16130" width="15.42578125" customWidth="1"/>
    <col min="16131" max="16131" width="13.7109375" customWidth="1"/>
    <col min="16132" max="16132" width="13.85546875" customWidth="1"/>
    <col min="16133" max="16134" width="14.85546875" customWidth="1"/>
    <col min="16135" max="16136" width="18.7109375" customWidth="1"/>
    <col min="16137" max="16137" width="2.7109375" customWidth="1"/>
    <col min="16140" max="16140" width="11.85546875" customWidth="1"/>
  </cols>
  <sheetData>
    <row r="1" spans="1:8">
      <c r="A1" s="1"/>
      <c r="B1" s="1"/>
      <c r="C1" s="1"/>
      <c r="D1" s="1"/>
      <c r="E1" s="1"/>
      <c r="F1" s="1"/>
    </row>
    <row r="2" spans="1:8" ht="15.75" customHeight="1">
      <c r="A2" s="1"/>
      <c r="B2" s="1"/>
      <c r="C2" s="353" t="s">
        <v>102</v>
      </c>
      <c r="D2" s="353"/>
      <c r="E2" s="354" t="s">
        <v>229</v>
      </c>
      <c r="F2" s="354"/>
      <c r="G2" s="354"/>
    </row>
    <row r="3" spans="1:8" ht="12.75" customHeight="1">
      <c r="A3" s="1"/>
      <c r="B3" s="1"/>
      <c r="C3" s="353"/>
      <c r="D3" s="353"/>
      <c r="E3" s="354"/>
      <c r="F3" s="354"/>
      <c r="G3" s="354"/>
    </row>
    <row r="4" spans="1:8" ht="12.75" customHeight="1">
      <c r="A4" s="1"/>
      <c r="B4" s="1"/>
      <c r="C4" s="198"/>
      <c r="D4" s="198"/>
      <c r="E4" s="2"/>
      <c r="F4" s="2"/>
      <c r="G4" s="2"/>
    </row>
    <row r="5" spans="1:8" ht="12.75" customHeight="1">
      <c r="A5" s="1"/>
      <c r="B5" s="1"/>
      <c r="C5" s="198"/>
      <c r="D5" s="198"/>
      <c r="E5" s="2"/>
      <c r="F5" s="2"/>
      <c r="G5" s="2"/>
    </row>
    <row r="6" spans="1:8" ht="12.75" customHeight="1">
      <c r="A6" s="1"/>
      <c r="B6" s="1"/>
      <c r="C6" s="1"/>
      <c r="D6" s="1"/>
      <c r="E6" s="1"/>
      <c r="F6" s="1"/>
    </row>
    <row r="7" spans="1:8" ht="23.25">
      <c r="A7" s="3" t="s">
        <v>202</v>
      </c>
      <c r="B7" s="1"/>
      <c r="C7" s="1"/>
      <c r="D7" s="1"/>
      <c r="E7" s="1"/>
      <c r="F7" s="204" t="s">
        <v>203</v>
      </c>
      <c r="G7" s="224"/>
      <c r="H7" s="4" t="s">
        <v>204</v>
      </c>
    </row>
    <row r="8" spans="1:8" ht="18">
      <c r="A8" s="5" t="s">
        <v>14</v>
      </c>
      <c r="B8" s="53" t="str">
        <f>+'Café Fruta(1)'!G3</f>
        <v>2022-2023</v>
      </c>
      <c r="C8" s="1"/>
      <c r="D8" s="1"/>
      <c r="E8" s="1"/>
      <c r="F8" s="1"/>
    </row>
    <row r="9" spans="1:8">
      <c r="A9" s="1"/>
      <c r="B9" s="1"/>
      <c r="C9" s="1"/>
      <c r="D9" s="1"/>
      <c r="E9" s="1"/>
      <c r="F9" s="1"/>
    </row>
    <row r="10" spans="1:8">
      <c r="A10" s="1"/>
      <c r="B10" s="1"/>
      <c r="C10" s="1" t="s">
        <v>205</v>
      </c>
      <c r="D10" s="1"/>
      <c r="E10" s="1"/>
      <c r="F10" s="1"/>
    </row>
    <row r="11" spans="1:8">
      <c r="A11" s="1"/>
      <c r="B11" s="1"/>
      <c r="C11" s="1"/>
      <c r="D11" s="1"/>
      <c r="E11" s="1"/>
      <c r="F11" s="1"/>
    </row>
    <row r="12" spans="1:8">
      <c r="A12" s="1"/>
      <c r="B12" s="1"/>
      <c r="C12" s="1"/>
      <c r="D12" s="1"/>
      <c r="E12" s="1"/>
      <c r="F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 ht="18">
      <c r="A15" s="4" t="s">
        <v>61</v>
      </c>
      <c r="B15" s="355"/>
      <c r="C15" s="355"/>
      <c r="D15" s="355"/>
      <c r="E15" s="6" t="s">
        <v>105</v>
      </c>
      <c r="F15" s="214"/>
      <c r="G15" s="204"/>
      <c r="H15" s="7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293" t="s">
        <v>107</v>
      </c>
      <c r="B18" s="294"/>
      <c r="C18" s="297" t="s">
        <v>18</v>
      </c>
      <c r="D18" s="298"/>
      <c r="E18" s="297" t="s">
        <v>19</v>
      </c>
      <c r="F18" s="298"/>
      <c r="G18" s="297" t="s">
        <v>20</v>
      </c>
      <c r="H18" s="298"/>
    </row>
    <row r="19" spans="1:8">
      <c r="A19" s="295"/>
      <c r="B19" s="296"/>
      <c r="C19" s="299"/>
      <c r="D19" s="300"/>
      <c r="E19" s="299"/>
      <c r="F19" s="300"/>
      <c r="G19" s="299"/>
      <c r="H19" s="300"/>
    </row>
    <row r="20" spans="1:8">
      <c r="A20" s="301" t="s">
        <v>108</v>
      </c>
      <c r="B20" s="302"/>
      <c r="C20" s="345">
        <f>+'Café Fruta(1)'!G28</f>
        <v>0</v>
      </c>
      <c r="D20" s="346"/>
      <c r="E20" s="345">
        <f>+'Café Fruta(1)'!K28</f>
        <v>0</v>
      </c>
      <c r="F20" s="346"/>
      <c r="G20" s="305">
        <f>SUM(C20+E20)</f>
        <v>0</v>
      </c>
      <c r="H20" s="306"/>
    </row>
    <row r="21" spans="1:8">
      <c r="A21" s="301" t="s">
        <v>109</v>
      </c>
      <c r="B21" s="302"/>
      <c r="C21" s="345"/>
      <c r="D21" s="346"/>
      <c r="E21" s="345">
        <f>+'Café Fruta(1)'!J28</f>
        <v>0</v>
      </c>
      <c r="F21" s="346"/>
      <c r="G21" s="305">
        <f>E21+C21</f>
        <v>0</v>
      </c>
      <c r="H21" s="306"/>
    </row>
    <row r="22" spans="1:8">
      <c r="A22" s="301" t="s">
        <v>110</v>
      </c>
      <c r="B22" s="302"/>
      <c r="C22" s="305">
        <f>C21+C20</f>
        <v>0</v>
      </c>
      <c r="D22" s="306"/>
      <c r="E22" s="305">
        <f>SUM(E20:F21)</f>
        <v>0</v>
      </c>
      <c r="F22" s="306"/>
      <c r="G22" s="305">
        <f>E22+C22</f>
        <v>0</v>
      </c>
      <c r="H22" s="306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F24" s="4" t="s">
        <v>111</v>
      </c>
      <c r="G24" s="1"/>
      <c r="H24" s="8">
        <f>'Café Fruta-Bellota'!M26</f>
        <v>0</v>
      </c>
    </row>
    <row r="25" spans="1:8">
      <c r="A25" s="1"/>
      <c r="B25" s="1"/>
      <c r="C25" s="1"/>
      <c r="D25" s="1"/>
      <c r="F25" s="9" t="s">
        <v>112</v>
      </c>
      <c r="G25" s="1"/>
      <c r="H25" s="10">
        <f>G20+G21+H24</f>
        <v>0</v>
      </c>
    </row>
    <row r="26" spans="1:8">
      <c r="A26" s="1"/>
      <c r="B26" s="1"/>
      <c r="C26" s="1"/>
      <c r="D26" s="1"/>
      <c r="F26" s="9" t="s">
        <v>113</v>
      </c>
      <c r="G26" s="1"/>
      <c r="H26" s="11">
        <f>G21+H24</f>
        <v>0</v>
      </c>
    </row>
    <row r="27" spans="1:8">
      <c r="A27" s="1"/>
      <c r="B27" s="1"/>
      <c r="C27" s="1"/>
      <c r="D27" s="1"/>
      <c r="E27" s="9"/>
      <c r="F27" s="1"/>
      <c r="G27" s="1"/>
      <c r="H27" s="1"/>
    </row>
    <row r="28" spans="1:8">
      <c r="A28" s="1" t="s">
        <v>114</v>
      </c>
      <c r="B28" s="1"/>
      <c r="C28" s="1"/>
      <c r="D28" s="1"/>
      <c r="E28" s="12" t="str">
        <f>IF(G22=0," ",((E39/G22)/2.173913)*100)</f>
        <v xml:space="preserve"> </v>
      </c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3"/>
      <c r="B30" s="13"/>
      <c r="C30" s="13"/>
      <c r="D30" s="13"/>
      <c r="E30" s="13"/>
      <c r="F30" s="14"/>
      <c r="G30" s="14"/>
      <c r="H30" s="15"/>
    </row>
    <row r="31" spans="1:8">
      <c r="A31" s="13"/>
      <c r="B31" s="13"/>
      <c r="C31" s="13"/>
      <c r="D31" s="13"/>
      <c r="E31" s="13"/>
      <c r="F31" s="15"/>
      <c r="G31" s="15"/>
      <c r="H31" s="16"/>
    </row>
    <row r="32" spans="1:8" ht="39">
      <c r="A32" s="17" t="s">
        <v>115</v>
      </c>
      <c r="B32" s="18"/>
      <c r="C32" s="18"/>
      <c r="D32" s="19" t="s">
        <v>116</v>
      </c>
      <c r="E32" s="20" t="s">
        <v>117</v>
      </c>
      <c r="F32" s="108" t="s">
        <v>118</v>
      </c>
      <c r="G32" s="108" t="s">
        <v>119</v>
      </c>
      <c r="H32" s="21" t="s">
        <v>54</v>
      </c>
    </row>
    <row r="33" spans="1:12">
      <c r="A33" s="22" t="s">
        <v>120</v>
      </c>
      <c r="B33" s="23"/>
      <c r="C33" s="24"/>
      <c r="D33" s="25" t="str">
        <f>IF(OR(E33="",E33=0),"",E33/$E$39%)</f>
        <v/>
      </c>
      <c r="E33" s="201">
        <f>+'Ventas Export.(2)'!F54</f>
        <v>0</v>
      </c>
      <c r="F33" s="202">
        <f>+'Ventas Export.(2)'!K54</f>
        <v>0</v>
      </c>
      <c r="G33" s="28">
        <f t="shared" ref="G33:G38" si="0">IF(OR(H33=0,E33=0),0,H33/E33)</f>
        <v>0</v>
      </c>
      <c r="H33" s="203">
        <f>+'Ventas Export.(2)'!J54</f>
        <v>0</v>
      </c>
    </row>
    <row r="34" spans="1:12">
      <c r="A34" s="22" t="s">
        <v>121</v>
      </c>
      <c r="B34" s="23"/>
      <c r="C34" s="24"/>
      <c r="D34" s="25">
        <v>0</v>
      </c>
      <c r="E34" s="201">
        <v>0</v>
      </c>
      <c r="F34" s="30"/>
      <c r="G34" s="28">
        <f t="shared" si="0"/>
        <v>0</v>
      </c>
      <c r="H34" s="203">
        <v>0</v>
      </c>
    </row>
    <row r="35" spans="1:12">
      <c r="A35" s="22" t="s">
        <v>122</v>
      </c>
      <c r="B35" s="23"/>
      <c r="C35" s="24"/>
      <c r="D35" s="25" t="str">
        <f>IF(OR(E35=0,E35=0),"",E35/$E$39%)</f>
        <v/>
      </c>
      <c r="E35" s="201">
        <v>0</v>
      </c>
      <c r="F35" s="30"/>
      <c r="G35" s="28">
        <f t="shared" si="0"/>
        <v>0</v>
      </c>
      <c r="H35" s="203"/>
    </row>
    <row r="36" spans="1:12">
      <c r="A36" s="311" t="s">
        <v>206</v>
      </c>
      <c r="B36" s="312"/>
      <c r="C36" s="313"/>
      <c r="D36" s="25" t="str">
        <f>IF(OR(E36="",E36=0),"",E36/$E$39%)</f>
        <v/>
      </c>
      <c r="E36" s="26">
        <v>0</v>
      </c>
      <c r="F36" s="27">
        <v>0</v>
      </c>
      <c r="G36" s="28">
        <f t="shared" si="0"/>
        <v>0</v>
      </c>
      <c r="H36" s="29"/>
    </row>
    <row r="37" spans="1:12">
      <c r="A37" s="311" t="s">
        <v>123</v>
      </c>
      <c r="B37" s="312"/>
      <c r="C37" s="313"/>
      <c r="D37" s="25" t="str">
        <f>IF(OR(E37="",E37=0),"",E37/$E$39%)</f>
        <v/>
      </c>
      <c r="E37" s="26">
        <v>0</v>
      </c>
      <c r="F37" s="27">
        <v>0</v>
      </c>
      <c r="G37" s="28">
        <f t="shared" si="0"/>
        <v>0</v>
      </c>
      <c r="H37" s="29"/>
    </row>
    <row r="38" spans="1:12">
      <c r="A38" s="22"/>
      <c r="B38" s="23"/>
      <c r="C38" s="24"/>
      <c r="D38" s="25"/>
      <c r="E38" s="26">
        <v>0</v>
      </c>
      <c r="F38" s="27"/>
      <c r="G38" s="28">
        <f t="shared" si="0"/>
        <v>0</v>
      </c>
      <c r="H38" s="29"/>
    </row>
    <row r="39" spans="1:12">
      <c r="A39" s="17" t="s">
        <v>125</v>
      </c>
      <c r="B39" s="31"/>
      <c r="C39" s="32"/>
      <c r="D39" s="33">
        <f>SUM(D33:D38)</f>
        <v>0</v>
      </c>
      <c r="E39" s="33">
        <v>0</v>
      </c>
      <c r="F39" s="34"/>
      <c r="G39" s="140"/>
      <c r="H39" s="35">
        <f>SUM(H33:H38)</f>
        <v>0</v>
      </c>
    </row>
    <row r="40" spans="1:12">
      <c r="A40" s="1"/>
      <c r="B40" s="1"/>
      <c r="C40" s="1"/>
      <c r="D40" s="1"/>
      <c r="E40" s="1"/>
      <c r="F40" s="1"/>
      <c r="G40" s="1"/>
      <c r="H40" s="1"/>
    </row>
    <row r="41" spans="1:12">
      <c r="A41" s="4" t="s">
        <v>126</v>
      </c>
      <c r="B41" s="1"/>
      <c r="C41" s="1"/>
      <c r="D41" s="1"/>
      <c r="E41" s="1"/>
      <c r="F41" s="1"/>
      <c r="G41" s="1"/>
      <c r="H41" s="1"/>
    </row>
    <row r="42" spans="1:12">
      <c r="A42" s="4"/>
      <c r="B42" s="1"/>
      <c r="C42" s="1"/>
      <c r="D42" s="1"/>
      <c r="E42" s="1"/>
      <c r="F42" s="1"/>
      <c r="G42" s="1"/>
      <c r="H42" s="1"/>
    </row>
    <row r="43" spans="1:12" ht="15" customHeight="1">
      <c r="A43" s="1"/>
      <c r="B43" s="1"/>
      <c r="C43" s="1"/>
      <c r="D43" s="1"/>
      <c r="E43" s="1"/>
      <c r="F43" s="1"/>
      <c r="G43" s="1"/>
      <c r="H43" s="1"/>
    </row>
    <row r="44" spans="1:12">
      <c r="A44" s="1" t="s">
        <v>127</v>
      </c>
      <c r="B44" s="1"/>
      <c r="C44" s="1"/>
      <c r="D44" s="1"/>
      <c r="E44" s="36" t="str">
        <f>IF(E39=0," ",G44/E39)</f>
        <v xml:space="preserve"> </v>
      </c>
      <c r="F44" s="1" t="s">
        <v>207</v>
      </c>
      <c r="G44" s="37"/>
      <c r="H44" s="1"/>
    </row>
    <row r="45" spans="1:12">
      <c r="A45" s="1" t="s">
        <v>208</v>
      </c>
      <c r="B45" s="1"/>
      <c r="C45" s="1"/>
      <c r="D45" s="1"/>
      <c r="F45" s="1"/>
      <c r="G45" s="38">
        <f>H39-G44</f>
        <v>0</v>
      </c>
      <c r="H45" s="1"/>
    </row>
    <row r="46" spans="1:12">
      <c r="A46" s="1" t="s">
        <v>209</v>
      </c>
      <c r="B46" s="1"/>
      <c r="C46" s="1"/>
      <c r="D46" s="1"/>
      <c r="E46" s="1"/>
      <c r="F46" s="1"/>
      <c r="G46" s="38">
        <f>G45*9%</f>
        <v>0</v>
      </c>
      <c r="H46" s="1"/>
    </row>
    <row r="47" spans="1:12">
      <c r="A47" s="1" t="s">
        <v>210</v>
      </c>
      <c r="B47" s="1"/>
      <c r="C47" s="1"/>
      <c r="D47" s="1"/>
      <c r="E47" s="1"/>
      <c r="F47" s="1"/>
      <c r="G47" s="1"/>
      <c r="H47" s="38">
        <f>G44+G46</f>
        <v>0</v>
      </c>
    </row>
    <row r="48" spans="1:12">
      <c r="A48" s="1" t="s">
        <v>211</v>
      </c>
      <c r="B48" s="1"/>
      <c r="C48" s="1"/>
      <c r="D48" s="1"/>
      <c r="E48" s="1"/>
      <c r="F48" s="1"/>
      <c r="G48" s="1"/>
      <c r="H48" s="38">
        <f>H39-H47</f>
        <v>0</v>
      </c>
      <c r="L48" s="141"/>
    </row>
    <row r="49" spans="1:12">
      <c r="A49" s="1" t="s">
        <v>212</v>
      </c>
      <c r="B49" s="1"/>
      <c r="C49" s="1"/>
      <c r="D49" s="1"/>
      <c r="E49" s="1"/>
      <c r="F49" s="1"/>
      <c r="G49" s="1"/>
      <c r="H49" s="38">
        <f>IF(E28&gt;H15,0,IF(E39=0,0,((H48/E39)*(H15-E28))*G22))</f>
        <v>0</v>
      </c>
      <c r="L49" s="143"/>
    </row>
    <row r="50" spans="1:12">
      <c r="A50" s="1" t="s">
        <v>213</v>
      </c>
      <c r="B50" s="1"/>
      <c r="C50" s="1"/>
      <c r="D50" s="1"/>
      <c r="E50" s="1"/>
      <c r="F50" s="1"/>
      <c r="G50" s="1"/>
      <c r="H50" s="38">
        <f>H48+H49</f>
        <v>0</v>
      </c>
    </row>
    <row r="51" spans="1:12">
      <c r="A51" s="1" t="s">
        <v>214</v>
      </c>
      <c r="B51" s="1"/>
      <c r="C51" s="1"/>
      <c r="D51" s="1"/>
      <c r="E51" s="1"/>
      <c r="F51" s="1"/>
      <c r="G51" s="1"/>
      <c r="H51" s="39">
        <f>BELLOTA!H38</f>
        <v>0</v>
      </c>
    </row>
    <row r="52" spans="1:12">
      <c r="A52" s="1" t="s">
        <v>215</v>
      </c>
      <c r="B52" s="1"/>
      <c r="C52" s="1"/>
      <c r="D52" s="1"/>
      <c r="E52" s="1"/>
      <c r="F52" s="1"/>
      <c r="G52" s="1"/>
      <c r="H52" s="38">
        <f>H50+H51</f>
        <v>0</v>
      </c>
    </row>
    <row r="53" spans="1:12">
      <c r="A53" s="307"/>
      <c r="B53" s="307"/>
      <c r="C53" s="1"/>
      <c r="D53" s="1"/>
      <c r="E53" s="1"/>
      <c r="F53" s="1"/>
      <c r="G53" s="1"/>
      <c r="H53" s="40"/>
    </row>
    <row r="54" spans="1:12">
      <c r="A54" s="1" t="s">
        <v>216</v>
      </c>
      <c r="B54" s="1"/>
      <c r="C54" s="1"/>
      <c r="D54" s="1"/>
      <c r="E54" s="1"/>
      <c r="F54" s="1"/>
      <c r="G54" s="1"/>
      <c r="H54" s="38" t="str">
        <f>IF(H25=0," ",H52/H25)</f>
        <v xml:space="preserve"> </v>
      </c>
    </row>
    <row r="55" spans="1:12">
      <c r="A55" s="1" t="s">
        <v>230</v>
      </c>
      <c r="B55" s="1"/>
      <c r="C55" s="1"/>
      <c r="D55" s="1"/>
      <c r="E55" s="1"/>
      <c r="F55" s="1"/>
      <c r="G55" s="1"/>
      <c r="H55" s="38">
        <f>IF(G20=0,0,H54*0.55)</f>
        <v>0</v>
      </c>
    </row>
    <row r="56" spans="1:12">
      <c r="A56" s="1" t="s">
        <v>217</v>
      </c>
      <c r="B56" s="1"/>
      <c r="C56" s="1"/>
      <c r="D56" s="1"/>
      <c r="E56" s="1"/>
      <c r="F56" s="1"/>
      <c r="G56" s="1"/>
      <c r="H56" s="38">
        <f>IF(H26=0,0,IF(H24=0,((H52-(H55*G20))/G21),((H52-(H55*G20))/H26)))</f>
        <v>0</v>
      </c>
    </row>
    <row r="57" spans="1:12">
      <c r="A57" s="4" t="s">
        <v>218</v>
      </c>
      <c r="B57" s="1"/>
      <c r="C57" s="1"/>
      <c r="D57" s="1"/>
      <c r="E57" s="1"/>
      <c r="F57" s="1"/>
      <c r="G57" s="37"/>
      <c r="H57" s="1"/>
    </row>
    <row r="58" spans="1:12">
      <c r="A58" s="307" t="s">
        <v>219</v>
      </c>
      <c r="B58" s="307"/>
      <c r="C58" s="1"/>
      <c r="D58" s="1"/>
      <c r="E58" s="1"/>
      <c r="F58" s="1"/>
      <c r="G58" s="37"/>
      <c r="H58" s="1"/>
    </row>
    <row r="59" spans="1:12">
      <c r="A59" s="1" t="s">
        <v>220</v>
      </c>
      <c r="B59" s="9"/>
      <c r="C59" s="1"/>
      <c r="D59" s="1"/>
      <c r="E59" s="1"/>
      <c r="F59" s="1"/>
      <c r="G59" s="1"/>
      <c r="H59" s="38" t="str">
        <f>IF(OR(H25=0,H25=""),"",H54-((G58+G57)/H25))</f>
        <v/>
      </c>
    </row>
    <row r="60" spans="1:12">
      <c r="A60" s="1" t="s">
        <v>221</v>
      </c>
      <c r="B60" s="9"/>
      <c r="C60" s="1"/>
      <c r="D60" s="1"/>
      <c r="E60" s="1"/>
      <c r="F60" s="1"/>
      <c r="G60" s="1"/>
      <c r="H60" s="38">
        <f>+IF(OR(H25=0,H25="",G20=0,G20=""),0,H55-((G58+G57)/H25))</f>
        <v>0</v>
      </c>
    </row>
    <row r="61" spans="1:12">
      <c r="A61" s="1" t="s">
        <v>222</v>
      </c>
      <c r="B61" s="9"/>
      <c r="C61" s="1"/>
      <c r="D61" s="1"/>
      <c r="E61" s="1"/>
      <c r="F61" s="1"/>
      <c r="G61" s="1"/>
      <c r="H61" s="38">
        <f>+IF(OR(H25=0,H25="",G21="",G21=0),0,H56-((G58+G57)/H25))</f>
        <v>0</v>
      </c>
    </row>
    <row r="62" spans="1:12">
      <c r="A62" s="1"/>
      <c r="B62" s="1"/>
      <c r="C62" s="1"/>
      <c r="D62" s="1"/>
      <c r="E62" s="1"/>
      <c r="F62" s="1"/>
      <c r="G62" s="1"/>
      <c r="H62" s="1"/>
    </row>
    <row r="63" spans="1:12">
      <c r="A63" s="4" t="s">
        <v>223</v>
      </c>
    </row>
    <row r="64" spans="1:12">
      <c r="A64" s="4" t="s">
        <v>148</v>
      </c>
      <c r="D64" s="41"/>
      <c r="E64" s="42"/>
    </row>
    <row r="65" spans="1:8">
      <c r="D65" s="43" t="s">
        <v>149</v>
      </c>
      <c r="E65" s="43" t="s">
        <v>150</v>
      </c>
      <c r="F65" s="4"/>
    </row>
    <row r="66" spans="1:8" ht="6.95" customHeight="1"/>
    <row r="67" spans="1:8">
      <c r="B67" s="4" t="s">
        <v>151</v>
      </c>
    </row>
    <row r="68" spans="1:8" ht="6.95" customHeight="1"/>
    <row r="69" spans="1:8" ht="38.25">
      <c r="A69" s="44"/>
      <c r="B69" s="45" t="s">
        <v>152</v>
      </c>
      <c r="C69" s="308" t="s">
        <v>153</v>
      </c>
      <c r="D69" s="356"/>
    </row>
    <row r="70" spans="1:8">
      <c r="A70" s="44" t="s">
        <v>154</v>
      </c>
      <c r="B70" s="199"/>
      <c r="C70" s="35" t="str">
        <f>C73</f>
        <v/>
      </c>
      <c r="D70" s="35" t="str">
        <f>+IF(C70="","",C70-(G57/H25))</f>
        <v/>
      </c>
      <c r="F70" s="4" t="s">
        <v>224</v>
      </c>
      <c r="G70" s="46"/>
      <c r="H70" s="37">
        <f>+'Café Fruta(1)'!K3</f>
        <v>0</v>
      </c>
    </row>
    <row r="71" spans="1:8">
      <c r="A71" s="44" t="s">
        <v>155</v>
      </c>
      <c r="B71" s="199"/>
      <c r="C71" s="35" t="str">
        <f>IF(C70="","",C70*D64)</f>
        <v/>
      </c>
      <c r="D71" s="35" t="str">
        <f>+IF(C71="","",C71-(G57/H25))</f>
        <v/>
      </c>
      <c r="F71" s="46" t="s">
        <v>225</v>
      </c>
      <c r="G71" s="154"/>
      <c r="H71" s="46" t="s">
        <v>226</v>
      </c>
    </row>
    <row r="72" spans="1:8">
      <c r="A72" s="44" t="s">
        <v>156</v>
      </c>
      <c r="B72" s="47" t="str">
        <f>IF(OR(B70=0,B71=0),"",SUM(B70:B71))</f>
        <v/>
      </c>
      <c r="C72" s="35" t="str">
        <f>IF(OR(D64=0,B70=0,B71=0),"",H56)</f>
        <v/>
      </c>
      <c r="D72" t="s">
        <v>157</v>
      </c>
    </row>
    <row r="73" spans="1:8" ht="0.75" customHeight="1">
      <c r="B73" s="35">
        <f>IF(OR(B70=0,B71=0),0,((B70*D64)+B71))</f>
        <v>0</v>
      </c>
      <c r="C73" s="48" t="str">
        <f>IF(OR(D64=0,B70=0,B71=0),"",(B72/(D64*B71+B70)*H56))</f>
        <v/>
      </c>
    </row>
    <row r="75" spans="1:8">
      <c r="A75" s="49" t="s">
        <v>227</v>
      </c>
    </row>
    <row r="76" spans="1:8">
      <c r="A76" s="49" t="s">
        <v>159</v>
      </c>
    </row>
    <row r="79" spans="1:8" ht="17.25">
      <c r="A79" s="145" t="s">
        <v>160</v>
      </c>
      <c r="B79" s="51"/>
      <c r="D79" s="223"/>
      <c r="E79" s="53"/>
      <c r="F79" s="310" t="s">
        <v>162</v>
      </c>
      <c r="G79" s="310"/>
      <c r="H79" s="185">
        <f ca="1">TODAY()</f>
        <v>45112</v>
      </c>
    </row>
    <row r="81" spans="1:5" ht="15.75">
      <c r="A81" s="145" t="s">
        <v>164</v>
      </c>
      <c r="D81" s="53"/>
      <c r="E81" s="55"/>
    </row>
    <row r="83" spans="1:5" ht="17.25">
      <c r="A83" s="146" t="s">
        <v>166</v>
      </c>
      <c r="B83" s="147"/>
      <c r="C83" s="147"/>
      <c r="D83" s="52" t="s">
        <v>161</v>
      </c>
    </row>
  </sheetData>
  <mergeCells count="25">
    <mergeCell ref="A37:C37"/>
    <mergeCell ref="A53:B53"/>
    <mergeCell ref="A58:B58"/>
    <mergeCell ref="C69:D69"/>
    <mergeCell ref="F79:G79"/>
    <mergeCell ref="A22:B22"/>
    <mergeCell ref="C22:D22"/>
    <mergeCell ref="E22:F22"/>
    <mergeCell ref="G22:H22"/>
    <mergeCell ref="A36:C36"/>
    <mergeCell ref="A20:B20"/>
    <mergeCell ref="C20:D20"/>
    <mergeCell ref="E20:F20"/>
    <mergeCell ref="G20:H20"/>
    <mergeCell ref="A21:B21"/>
    <mergeCell ref="C21:D21"/>
    <mergeCell ref="E21:F21"/>
    <mergeCell ref="G21:H21"/>
    <mergeCell ref="C2:D3"/>
    <mergeCell ref="E2:G3"/>
    <mergeCell ref="B15:D15"/>
    <mergeCell ref="A18:B19"/>
    <mergeCell ref="C18:D19"/>
    <mergeCell ref="E18:F19"/>
    <mergeCell ref="G18:H19"/>
  </mergeCells>
  <pageMargins left="0.7" right="0.7" top="0.75" bottom="0.75" header="0.3" footer="0.3"/>
  <pageSetup paperSize="9" scale="5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0"/>
  <dimension ref="B1:M30"/>
  <sheetViews>
    <sheetView showGridLines="0" topLeftCell="C1" zoomScale="110" zoomScaleNormal="110" workbookViewId="0">
      <selection activeCell="F4" sqref="F4:J4"/>
    </sheetView>
  </sheetViews>
  <sheetFormatPr baseColWidth="10" defaultColWidth="11.42578125" defaultRowHeight="15"/>
  <cols>
    <col min="1" max="1" width="2" customWidth="1"/>
    <col min="2" max="2" width="9.28515625" style="92" customWidth="1"/>
    <col min="3" max="3" width="14" style="92" customWidth="1"/>
    <col min="4" max="4" width="16.7109375" customWidth="1"/>
    <col min="5" max="5" width="11.42578125" hidden="1" customWidth="1"/>
    <col min="6" max="6" width="13.28515625" bestFit="1" customWidth="1"/>
    <col min="7" max="7" width="13" customWidth="1"/>
    <col min="8" max="8" width="11.42578125" hidden="1" customWidth="1"/>
    <col min="9" max="9" width="14.42578125" customWidth="1"/>
    <col min="10" max="10" width="12.7109375" bestFit="1" customWidth="1"/>
    <col min="11" max="11" width="18.140625" customWidth="1"/>
    <col min="12" max="13" width="12.28515625" bestFit="1" customWidth="1"/>
  </cols>
  <sheetData>
    <row r="1" spans="2:13" ht="15.75" thickBot="1"/>
    <row r="2" spans="2:13" ht="19.5" thickBot="1">
      <c r="B2" s="238" t="s">
        <v>13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40"/>
    </row>
    <row r="3" spans="2:13" ht="19.5" thickBot="1">
      <c r="B3" s="119"/>
      <c r="C3" s="159"/>
      <c r="D3" s="159"/>
      <c r="E3" s="119"/>
      <c r="F3" s="159" t="s">
        <v>14</v>
      </c>
      <c r="G3" s="220" t="s">
        <v>228</v>
      </c>
      <c r="H3" s="122"/>
      <c r="I3" s="119"/>
      <c r="J3" s="119"/>
      <c r="K3" s="119"/>
      <c r="L3" s="119"/>
      <c r="M3" s="120"/>
    </row>
    <row r="4" spans="2:13" ht="19.5" thickBot="1">
      <c r="B4" s="125" t="s">
        <v>15</v>
      </c>
      <c r="C4" s="126"/>
      <c r="D4" s="121"/>
      <c r="E4" s="119"/>
      <c r="F4" s="254"/>
      <c r="G4" s="254"/>
      <c r="H4" s="254"/>
      <c r="I4" s="254"/>
      <c r="J4" s="255"/>
      <c r="K4" s="127" t="s">
        <v>16</v>
      </c>
      <c r="L4" s="219"/>
      <c r="M4" s="120"/>
    </row>
    <row r="5" spans="2:13" ht="17.25" customHeight="1">
      <c r="C5" s="92" t="s">
        <v>17</v>
      </c>
      <c r="D5" s="221"/>
      <c r="E5" s="245"/>
      <c r="F5" s="248" t="s">
        <v>18</v>
      </c>
      <c r="G5" s="249"/>
      <c r="H5" s="249"/>
      <c r="I5" s="250"/>
      <c r="J5" s="248" t="s">
        <v>19</v>
      </c>
      <c r="K5" s="249"/>
      <c r="L5" s="250"/>
      <c r="M5" s="247" t="s">
        <v>20</v>
      </c>
    </row>
    <row r="6" spans="2:13" ht="15.75" thickBot="1">
      <c r="E6" s="246"/>
      <c r="F6" s="251"/>
      <c r="G6" s="252"/>
      <c r="H6" s="252"/>
      <c r="I6" s="253"/>
      <c r="J6" s="251"/>
      <c r="K6" s="252"/>
      <c r="L6" s="253"/>
      <c r="M6" s="247"/>
    </row>
    <row r="7" spans="2:13">
      <c r="C7" s="97" t="s">
        <v>21</v>
      </c>
      <c r="D7" s="97" t="s">
        <v>22</v>
      </c>
      <c r="E7" s="158"/>
      <c r="F7" s="123" t="s">
        <v>23</v>
      </c>
      <c r="G7" s="123" t="s">
        <v>24</v>
      </c>
      <c r="H7" s="124"/>
      <c r="I7" s="123" t="s">
        <v>20</v>
      </c>
      <c r="J7" s="123" t="s">
        <v>23</v>
      </c>
      <c r="K7" s="123" t="s">
        <v>24</v>
      </c>
      <c r="L7" s="123" t="s">
        <v>20</v>
      </c>
      <c r="M7" s="44"/>
    </row>
    <row r="8" spans="2:13">
      <c r="B8" s="92">
        <v>1</v>
      </c>
      <c r="C8" s="97" t="s">
        <v>25</v>
      </c>
      <c r="D8" s="98" t="s">
        <v>26</v>
      </c>
      <c r="E8" s="160"/>
      <c r="F8" s="194"/>
      <c r="G8" s="194"/>
      <c r="H8" s="194"/>
      <c r="I8" s="194"/>
      <c r="J8" s="215"/>
      <c r="K8" s="215"/>
      <c r="L8" s="216"/>
      <c r="M8" s="186">
        <f>+I8+L8</f>
        <v>0</v>
      </c>
    </row>
    <row r="9" spans="2:13">
      <c r="B9" s="92">
        <v>2</v>
      </c>
      <c r="C9" s="97" t="s">
        <v>25</v>
      </c>
      <c r="D9" s="97" t="s">
        <v>27</v>
      </c>
      <c r="E9" s="160"/>
      <c r="F9" s="194"/>
      <c r="G9" s="194"/>
      <c r="H9" s="194"/>
      <c r="I9" s="194"/>
      <c r="J9" s="215"/>
      <c r="K9" s="215"/>
      <c r="L9" s="216"/>
      <c r="M9" s="186">
        <f t="shared" ref="M9:M28" si="0">+I9+L9</f>
        <v>0</v>
      </c>
    </row>
    <row r="10" spans="2:13">
      <c r="B10" s="92">
        <v>3</v>
      </c>
      <c r="C10" s="97" t="s">
        <v>28</v>
      </c>
      <c r="D10" s="98" t="s">
        <v>26</v>
      </c>
      <c r="E10" s="160"/>
      <c r="F10" s="194"/>
      <c r="G10" s="194"/>
      <c r="H10" s="194"/>
      <c r="I10" s="194"/>
      <c r="J10" s="215"/>
      <c r="K10" s="215"/>
      <c r="L10" s="216"/>
      <c r="M10" s="186">
        <f t="shared" si="0"/>
        <v>0</v>
      </c>
    </row>
    <row r="11" spans="2:13">
      <c r="B11" s="92">
        <v>4</v>
      </c>
      <c r="C11" s="97" t="s">
        <v>28</v>
      </c>
      <c r="D11" s="97" t="s">
        <v>27</v>
      </c>
      <c r="E11" s="160"/>
      <c r="F11" s="194"/>
      <c r="G11" s="194"/>
      <c r="H11" s="194"/>
      <c r="I11" s="194"/>
      <c r="J11" s="215"/>
      <c r="K11" s="215"/>
      <c r="L11" s="216"/>
      <c r="M11" s="186">
        <f t="shared" si="0"/>
        <v>0</v>
      </c>
    </row>
    <row r="12" spans="2:13">
      <c r="B12" s="92">
        <v>5</v>
      </c>
      <c r="C12" s="97" t="s">
        <v>29</v>
      </c>
      <c r="D12" s="98" t="s">
        <v>26</v>
      </c>
      <c r="E12" s="160"/>
      <c r="F12" s="194"/>
      <c r="G12" s="194"/>
      <c r="H12" s="194"/>
      <c r="I12" s="194"/>
      <c r="J12" s="215"/>
      <c r="K12" s="215"/>
      <c r="L12" s="216"/>
      <c r="M12" s="186">
        <f t="shared" si="0"/>
        <v>0</v>
      </c>
    </row>
    <row r="13" spans="2:13">
      <c r="B13" s="92">
        <v>6</v>
      </c>
      <c r="C13" s="97" t="s">
        <v>29</v>
      </c>
      <c r="D13" s="97" t="s">
        <v>30</v>
      </c>
      <c r="E13" s="160"/>
      <c r="F13" s="194"/>
      <c r="G13" s="194"/>
      <c r="H13" s="194"/>
      <c r="I13" s="194"/>
      <c r="J13" s="215"/>
      <c r="K13" s="215"/>
      <c r="L13" s="216"/>
      <c r="M13" s="186">
        <f t="shared" si="0"/>
        <v>0</v>
      </c>
    </row>
    <row r="14" spans="2:13">
      <c r="B14" s="92">
        <v>7</v>
      </c>
      <c r="C14" s="97" t="s">
        <v>31</v>
      </c>
      <c r="D14" s="98" t="s">
        <v>26</v>
      </c>
      <c r="E14" s="160"/>
      <c r="F14" s="194"/>
      <c r="G14" s="194"/>
      <c r="H14" s="194"/>
      <c r="I14" s="194"/>
      <c r="J14" s="215"/>
      <c r="K14" s="215"/>
      <c r="L14" s="216"/>
      <c r="M14" s="186">
        <f t="shared" si="0"/>
        <v>0</v>
      </c>
    </row>
    <row r="15" spans="2:13">
      <c r="B15" s="92">
        <v>8</v>
      </c>
      <c r="C15" s="97" t="s">
        <v>31</v>
      </c>
      <c r="D15" s="97" t="s">
        <v>27</v>
      </c>
      <c r="E15" s="160"/>
      <c r="F15" s="194"/>
      <c r="G15" s="194"/>
      <c r="H15" s="194"/>
      <c r="I15" s="194"/>
      <c r="J15" s="215"/>
      <c r="K15" s="215"/>
      <c r="L15" s="216"/>
      <c r="M15" s="186">
        <f t="shared" si="0"/>
        <v>0</v>
      </c>
    </row>
    <row r="16" spans="2:13">
      <c r="B16" s="92">
        <v>9</v>
      </c>
      <c r="C16" s="97" t="s">
        <v>32</v>
      </c>
      <c r="D16" s="98" t="s">
        <v>26</v>
      </c>
      <c r="E16" s="23"/>
      <c r="F16" s="194"/>
      <c r="G16" s="241"/>
      <c r="H16" s="242"/>
      <c r="I16" s="194"/>
      <c r="J16" s="215"/>
      <c r="K16" s="215"/>
      <c r="L16" s="216"/>
      <c r="M16" s="186">
        <f t="shared" si="0"/>
        <v>0</v>
      </c>
    </row>
    <row r="17" spans="2:13">
      <c r="B17" s="92">
        <v>10</v>
      </c>
      <c r="C17" s="97" t="s">
        <v>32</v>
      </c>
      <c r="D17" s="98" t="s">
        <v>30</v>
      </c>
      <c r="E17" s="23"/>
      <c r="F17" s="194"/>
      <c r="G17" s="241"/>
      <c r="H17" s="242"/>
      <c r="I17" s="194"/>
      <c r="J17" s="215"/>
      <c r="K17" s="215"/>
      <c r="L17" s="216"/>
      <c r="M17" s="186">
        <f t="shared" si="0"/>
        <v>0</v>
      </c>
    </row>
    <row r="18" spans="2:13">
      <c r="B18" s="92">
        <v>11</v>
      </c>
      <c r="C18" s="97" t="s">
        <v>33</v>
      </c>
      <c r="D18" s="98" t="s">
        <v>26</v>
      </c>
      <c r="E18" s="23"/>
      <c r="F18" s="194"/>
      <c r="G18" s="243"/>
      <c r="H18" s="244"/>
      <c r="I18" s="194"/>
      <c r="J18" s="215"/>
      <c r="K18" s="215"/>
      <c r="L18" s="216"/>
      <c r="M18" s="186">
        <f t="shared" si="0"/>
        <v>0</v>
      </c>
    </row>
    <row r="19" spans="2:13">
      <c r="B19" s="92">
        <v>12</v>
      </c>
      <c r="C19" s="97" t="s">
        <v>33</v>
      </c>
      <c r="D19" s="98" t="s">
        <v>27</v>
      </c>
      <c r="F19" s="215"/>
      <c r="G19" s="215"/>
      <c r="H19" s="217"/>
      <c r="I19" s="194"/>
      <c r="J19" s="215"/>
      <c r="K19" s="215"/>
      <c r="L19" s="216"/>
      <c r="M19" s="186">
        <f t="shared" si="0"/>
        <v>0</v>
      </c>
    </row>
    <row r="20" spans="2:13">
      <c r="B20" s="92">
        <v>13</v>
      </c>
      <c r="C20" s="97" t="s">
        <v>34</v>
      </c>
      <c r="D20" s="98" t="s">
        <v>26</v>
      </c>
      <c r="F20" s="215"/>
      <c r="G20" s="215"/>
      <c r="H20" s="217"/>
      <c r="I20" s="194"/>
      <c r="J20" s="215"/>
      <c r="K20" s="215"/>
      <c r="L20" s="216"/>
      <c r="M20" s="186">
        <f t="shared" si="0"/>
        <v>0</v>
      </c>
    </row>
    <row r="21" spans="2:13">
      <c r="B21" s="92">
        <v>14</v>
      </c>
      <c r="C21" s="97" t="s">
        <v>34</v>
      </c>
      <c r="D21" s="98" t="s">
        <v>27</v>
      </c>
      <c r="F21" s="215"/>
      <c r="G21" s="215"/>
      <c r="H21" s="217"/>
      <c r="I21" s="194"/>
      <c r="J21" s="215"/>
      <c r="K21" s="215"/>
      <c r="L21" s="216"/>
      <c r="M21" s="186">
        <f t="shared" si="0"/>
        <v>0</v>
      </c>
    </row>
    <row r="22" spans="2:13">
      <c r="B22" s="92">
        <v>15</v>
      </c>
      <c r="C22" s="97" t="s">
        <v>35</v>
      </c>
      <c r="D22" s="98" t="s">
        <v>26</v>
      </c>
      <c r="F22" s="215"/>
      <c r="G22" s="215"/>
      <c r="H22" s="217"/>
      <c r="I22" s="194"/>
      <c r="J22" s="215"/>
      <c r="K22" s="215"/>
      <c r="L22" s="216"/>
      <c r="M22" s="186">
        <f t="shared" si="0"/>
        <v>0</v>
      </c>
    </row>
    <row r="23" spans="2:13">
      <c r="B23" s="92">
        <v>16</v>
      </c>
      <c r="C23" s="97" t="s">
        <v>35</v>
      </c>
      <c r="D23" s="98" t="s">
        <v>36</v>
      </c>
      <c r="F23" s="215"/>
      <c r="G23" s="215"/>
      <c r="H23" s="217"/>
      <c r="I23" s="194"/>
      <c r="J23" s="215"/>
      <c r="K23" s="215"/>
      <c r="L23" s="216"/>
      <c r="M23" s="186">
        <f t="shared" si="0"/>
        <v>0</v>
      </c>
    </row>
    <row r="24" spans="2:13">
      <c r="B24" s="92">
        <v>17</v>
      </c>
      <c r="C24" s="97" t="s">
        <v>37</v>
      </c>
      <c r="D24" s="98" t="s">
        <v>26</v>
      </c>
      <c r="F24" s="215"/>
      <c r="G24" s="215"/>
      <c r="H24" s="217"/>
      <c r="I24" s="194"/>
      <c r="J24" s="215"/>
      <c r="K24" s="215"/>
      <c r="L24" s="216"/>
      <c r="M24" s="186">
        <f t="shared" si="0"/>
        <v>0</v>
      </c>
    </row>
    <row r="25" spans="2:13">
      <c r="B25" s="92">
        <v>18</v>
      </c>
      <c r="C25" s="97" t="s">
        <v>37</v>
      </c>
      <c r="D25" s="98" t="s">
        <v>27</v>
      </c>
      <c r="F25" s="215"/>
      <c r="G25" s="215"/>
      <c r="H25" s="218"/>
      <c r="I25" s="194"/>
      <c r="J25" s="215"/>
      <c r="K25" s="215">
        <v>0</v>
      </c>
      <c r="L25" s="216"/>
      <c r="M25" s="186">
        <f t="shared" si="0"/>
        <v>0</v>
      </c>
    </row>
    <row r="26" spans="2:13" ht="15.75" thickBot="1">
      <c r="D26" s="98" t="s">
        <v>20</v>
      </c>
      <c r="F26" s="96">
        <f>SUM(F8:F25)</f>
        <v>0</v>
      </c>
      <c r="G26" s="96">
        <f>SUM(G8:H25)</f>
        <v>0</v>
      </c>
      <c r="H26" s="96"/>
      <c r="I26" s="96">
        <f t="shared" ref="I26" si="1">+F26+G26</f>
        <v>0</v>
      </c>
      <c r="J26" s="96">
        <f t="shared" ref="J26" si="2">SUM(J8:J25)</f>
        <v>0</v>
      </c>
      <c r="K26" s="96">
        <f>SUM(K8:K25)</f>
        <v>0</v>
      </c>
      <c r="L26" s="96">
        <f t="shared" ref="L26" si="3">+J26+K26</f>
        <v>0</v>
      </c>
      <c r="M26" s="96">
        <f t="shared" si="0"/>
        <v>0</v>
      </c>
    </row>
    <row r="27" spans="2:13" ht="15.75" thickTop="1"/>
    <row r="28" spans="2:13">
      <c r="B28" s="129" t="s">
        <v>38</v>
      </c>
      <c r="F28" s="128">
        <f>+F26/2</f>
        <v>0</v>
      </c>
      <c r="G28" s="128">
        <f>+G26/2</f>
        <v>0</v>
      </c>
      <c r="I28" s="128">
        <f>+I26/2</f>
        <v>0</v>
      </c>
      <c r="J28" s="128">
        <f t="shared" ref="J28:L28" si="4">+J26/2</f>
        <v>0</v>
      </c>
      <c r="K28" s="128">
        <f t="shared" si="4"/>
        <v>0</v>
      </c>
      <c r="L28" s="128">
        <f t="shared" si="4"/>
        <v>0</v>
      </c>
      <c r="M28" s="128">
        <f t="shared" si="0"/>
        <v>0</v>
      </c>
    </row>
    <row r="30" spans="2:13">
      <c r="M30" s="155"/>
    </row>
  </sheetData>
  <sheetProtection algorithmName="SHA-512" hashValue="f43RMF41EougtvQnLDLo/QCOLW4qsnu7mO8gzAtXS0Oj0YH/+nclIlUFz2zlR6/jprrdWVodu7WPvCUGjG8aZg==" saltValue="56B42MtDMyRCXvGEytdktg==" spinCount="100000" sheet="1" objects="1" scenarios="1"/>
  <mergeCells count="9">
    <mergeCell ref="B2:M2"/>
    <mergeCell ref="G17:H17"/>
    <mergeCell ref="G18:H18"/>
    <mergeCell ref="E5:E6"/>
    <mergeCell ref="G16:H16"/>
    <mergeCell ref="M5:M6"/>
    <mergeCell ref="F5:I6"/>
    <mergeCell ref="J5:L6"/>
    <mergeCell ref="F4:J4"/>
  </mergeCells>
  <phoneticPr fontId="19" type="noConversion"/>
  <printOptions horizontalCentered="1" verticalCentered="1"/>
  <pageMargins left="0" right="0" top="0" bottom="0" header="0" footer="0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K60"/>
  <sheetViews>
    <sheetView showGridLines="0" view="pageBreakPreview" topLeftCell="A4" zoomScale="60" zoomScaleNormal="80" workbookViewId="0">
      <selection activeCell="J8" sqref="J8"/>
    </sheetView>
  </sheetViews>
  <sheetFormatPr baseColWidth="10" defaultColWidth="11.42578125" defaultRowHeight="15"/>
  <cols>
    <col min="1" max="1" width="15" customWidth="1"/>
    <col min="2" max="2" width="42.7109375" customWidth="1"/>
    <col min="3" max="3" width="12.140625" customWidth="1"/>
    <col min="4" max="4" width="11.42578125" customWidth="1"/>
    <col min="5" max="5" width="14.85546875" customWidth="1"/>
    <col min="6" max="6" width="13.28515625" customWidth="1"/>
    <col min="7" max="7" width="15.5703125" customWidth="1"/>
    <col min="8" max="8" width="16.85546875" bestFit="1" customWidth="1"/>
    <col min="9" max="9" width="14.7109375" customWidth="1"/>
    <col min="10" max="10" width="18.7109375" customWidth="1"/>
    <col min="11" max="11" width="12" customWidth="1"/>
    <col min="13" max="13" width="15" bestFit="1" customWidth="1"/>
    <col min="14" max="14" width="11.5703125" bestFit="1" customWidth="1"/>
  </cols>
  <sheetData>
    <row r="1" spans="1:11" ht="26.25">
      <c r="A1" s="258" t="s">
        <v>39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27" thickBot="1">
      <c r="A2" s="258" t="s">
        <v>40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 ht="18.75" thickBot="1">
      <c r="F3" s="5" t="s">
        <v>41</v>
      </c>
      <c r="G3" s="189" t="str">
        <f>+'Café Fruta(1)'!G3</f>
        <v>2022-2023</v>
      </c>
    </row>
    <row r="5" spans="1:11">
      <c r="A5" s="263" t="s">
        <v>42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</row>
    <row r="6" spans="1:11" ht="18.75">
      <c r="A6" s="264">
        <f>+'Café Fruta(1)'!F4</f>
        <v>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</row>
    <row r="7" spans="1:11" ht="15.75" thickBot="1"/>
    <row r="8" spans="1:11" ht="22.5" customHeight="1" thickBot="1">
      <c r="A8" s="94" t="s">
        <v>43</v>
      </c>
      <c r="B8" s="187">
        <v>5</v>
      </c>
      <c r="C8" s="187"/>
      <c r="D8" s="187"/>
      <c r="E8" s="187"/>
      <c r="F8" s="188"/>
      <c r="G8" s="153" t="s">
        <v>44</v>
      </c>
      <c r="H8" s="102">
        <v>0</v>
      </c>
      <c r="I8" s="99" t="s">
        <v>45</v>
      </c>
      <c r="J8" s="197"/>
      <c r="K8" s="82"/>
    </row>
    <row r="9" spans="1:11" ht="12" customHeight="1" thickBot="1"/>
    <row r="10" spans="1:11" s="86" customFormat="1" ht="39" customHeight="1" thickBot="1">
      <c r="A10" s="259" t="s">
        <v>46</v>
      </c>
      <c r="B10" s="260"/>
      <c r="C10" s="83" t="s">
        <v>47</v>
      </c>
      <c r="D10" s="83" t="s">
        <v>48</v>
      </c>
      <c r="E10" s="84" t="s">
        <v>49</v>
      </c>
      <c r="F10" s="84" t="s">
        <v>50</v>
      </c>
      <c r="G10" s="83" t="s">
        <v>51</v>
      </c>
      <c r="H10" s="85" t="s">
        <v>52</v>
      </c>
      <c r="I10" s="85" t="s">
        <v>53</v>
      </c>
      <c r="J10" s="85" t="s">
        <v>54</v>
      </c>
      <c r="K10" s="85" t="s">
        <v>55</v>
      </c>
    </row>
    <row r="11" spans="1:11">
      <c r="A11" s="261"/>
      <c r="B11" s="262"/>
      <c r="C11" s="133"/>
      <c r="D11" s="134"/>
      <c r="E11" s="87"/>
      <c r="F11" s="115">
        <f t="shared" ref="F11:F38" si="0">+E11/46</f>
        <v>0</v>
      </c>
      <c r="G11" s="87"/>
      <c r="H11" s="88">
        <f t="shared" ref="H11:H53" si="1">IF(OR(G11=0,F11=0),0,G11/F11)</f>
        <v>0</v>
      </c>
      <c r="I11" s="88">
        <f t="shared" ref="I11:I53" si="2">IF(OR(G11=0,F11=0),0,J11/G11)</f>
        <v>0</v>
      </c>
      <c r="J11" s="87"/>
      <c r="K11" s="88">
        <f t="shared" ref="K11:K53" si="3">IF(OR(J11=0,F11=0),0,J11/F11)</f>
        <v>0</v>
      </c>
    </row>
    <row r="12" spans="1:11">
      <c r="A12" s="195"/>
      <c r="B12" s="196"/>
      <c r="C12" s="133"/>
      <c r="D12" s="134"/>
      <c r="E12" s="87"/>
      <c r="F12" s="115">
        <f t="shared" si="0"/>
        <v>0</v>
      </c>
      <c r="G12" s="87"/>
      <c r="H12" s="88">
        <f t="shared" si="1"/>
        <v>0</v>
      </c>
      <c r="I12" s="88">
        <f t="shared" si="2"/>
        <v>0</v>
      </c>
      <c r="J12" s="87"/>
      <c r="K12" s="88">
        <f t="shared" si="3"/>
        <v>0</v>
      </c>
    </row>
    <row r="13" spans="1:11">
      <c r="A13" s="195"/>
      <c r="B13" s="196"/>
      <c r="C13" s="133"/>
      <c r="D13" s="134"/>
      <c r="E13" s="87"/>
      <c r="F13" s="115">
        <f t="shared" si="0"/>
        <v>0</v>
      </c>
      <c r="G13" s="87"/>
      <c r="H13" s="88">
        <f t="shared" si="1"/>
        <v>0</v>
      </c>
      <c r="I13" s="88">
        <f t="shared" si="2"/>
        <v>0</v>
      </c>
      <c r="J13" s="87"/>
      <c r="K13" s="88">
        <f t="shared" si="3"/>
        <v>0</v>
      </c>
    </row>
    <row r="14" spans="1:11">
      <c r="A14" s="195"/>
      <c r="B14" s="196"/>
      <c r="C14" s="133"/>
      <c r="D14" s="134"/>
      <c r="E14" s="87"/>
      <c r="F14" s="115">
        <f t="shared" si="0"/>
        <v>0</v>
      </c>
      <c r="G14" s="87"/>
      <c r="H14" s="88">
        <f t="shared" si="1"/>
        <v>0</v>
      </c>
      <c r="I14" s="88">
        <f t="shared" si="2"/>
        <v>0</v>
      </c>
      <c r="J14" s="87"/>
      <c r="K14" s="88">
        <f t="shared" si="3"/>
        <v>0</v>
      </c>
    </row>
    <row r="15" spans="1:11">
      <c r="A15" s="195"/>
      <c r="B15" s="196"/>
      <c r="C15" s="133"/>
      <c r="D15" s="134"/>
      <c r="E15" s="87"/>
      <c r="F15" s="115">
        <f t="shared" si="0"/>
        <v>0</v>
      </c>
      <c r="G15" s="87"/>
      <c r="H15" s="88">
        <f t="shared" si="1"/>
        <v>0</v>
      </c>
      <c r="I15" s="88">
        <f t="shared" si="2"/>
        <v>0</v>
      </c>
      <c r="J15" s="87"/>
      <c r="K15" s="88">
        <f t="shared" si="3"/>
        <v>0</v>
      </c>
    </row>
    <row r="16" spans="1:11">
      <c r="A16" s="195"/>
      <c r="B16" s="196"/>
      <c r="C16" s="133"/>
      <c r="D16" s="134"/>
      <c r="E16" s="87"/>
      <c r="F16" s="115">
        <f t="shared" si="0"/>
        <v>0</v>
      </c>
      <c r="G16" s="87"/>
      <c r="H16" s="88">
        <f t="shared" si="1"/>
        <v>0</v>
      </c>
      <c r="I16" s="88">
        <f t="shared" si="2"/>
        <v>0</v>
      </c>
      <c r="J16" s="87"/>
      <c r="K16" s="88">
        <f t="shared" si="3"/>
        <v>0</v>
      </c>
    </row>
    <row r="17" spans="1:11">
      <c r="A17" s="195"/>
      <c r="B17" s="196"/>
      <c r="C17" s="133"/>
      <c r="D17" s="134"/>
      <c r="E17" s="87"/>
      <c r="F17" s="115">
        <f t="shared" si="0"/>
        <v>0</v>
      </c>
      <c r="G17" s="87"/>
      <c r="H17" s="88">
        <f t="shared" si="1"/>
        <v>0</v>
      </c>
      <c r="I17" s="88">
        <f t="shared" si="2"/>
        <v>0</v>
      </c>
      <c r="J17" s="87"/>
      <c r="K17" s="88">
        <f t="shared" si="3"/>
        <v>0</v>
      </c>
    </row>
    <row r="18" spans="1:11">
      <c r="A18" s="195"/>
      <c r="B18" s="196"/>
      <c r="C18" s="133"/>
      <c r="D18" s="134"/>
      <c r="E18" s="87"/>
      <c r="F18" s="115">
        <f t="shared" si="0"/>
        <v>0</v>
      </c>
      <c r="G18" s="87"/>
      <c r="H18" s="88">
        <f t="shared" si="1"/>
        <v>0</v>
      </c>
      <c r="I18" s="88">
        <f t="shared" si="2"/>
        <v>0</v>
      </c>
      <c r="J18" s="87"/>
      <c r="K18" s="88">
        <f t="shared" si="3"/>
        <v>0</v>
      </c>
    </row>
    <row r="19" spans="1:11">
      <c r="A19" s="195"/>
      <c r="B19" s="196"/>
      <c r="C19" s="133"/>
      <c r="D19" s="134"/>
      <c r="E19" s="87"/>
      <c r="F19" s="115">
        <f t="shared" si="0"/>
        <v>0</v>
      </c>
      <c r="G19" s="87"/>
      <c r="H19" s="88">
        <f t="shared" si="1"/>
        <v>0</v>
      </c>
      <c r="I19" s="88">
        <f t="shared" si="2"/>
        <v>0</v>
      </c>
      <c r="J19" s="87"/>
      <c r="K19" s="88">
        <f t="shared" si="3"/>
        <v>0</v>
      </c>
    </row>
    <row r="20" spans="1:11">
      <c r="A20" s="195"/>
      <c r="B20" s="196"/>
      <c r="C20" s="133"/>
      <c r="D20" s="134"/>
      <c r="E20" s="87"/>
      <c r="F20" s="115">
        <f t="shared" si="0"/>
        <v>0</v>
      </c>
      <c r="G20" s="87"/>
      <c r="H20" s="88">
        <f t="shared" si="1"/>
        <v>0</v>
      </c>
      <c r="I20" s="88">
        <f t="shared" si="2"/>
        <v>0</v>
      </c>
      <c r="J20" s="87"/>
      <c r="K20" s="88">
        <f t="shared" si="3"/>
        <v>0</v>
      </c>
    </row>
    <row r="21" spans="1:11">
      <c r="A21" s="195"/>
      <c r="B21" s="196"/>
      <c r="C21" s="133"/>
      <c r="D21" s="134"/>
      <c r="E21" s="87"/>
      <c r="F21" s="115">
        <f t="shared" si="0"/>
        <v>0</v>
      </c>
      <c r="G21" s="87"/>
      <c r="H21" s="88">
        <f t="shared" si="1"/>
        <v>0</v>
      </c>
      <c r="I21" s="88">
        <f t="shared" si="2"/>
        <v>0</v>
      </c>
      <c r="J21" s="87"/>
      <c r="K21" s="88">
        <f t="shared" si="3"/>
        <v>0</v>
      </c>
    </row>
    <row r="22" spans="1:11">
      <c r="A22" s="256"/>
      <c r="B22" s="257"/>
      <c r="C22" s="130"/>
      <c r="D22" s="135"/>
      <c r="E22" s="87"/>
      <c r="F22" s="115">
        <f t="shared" si="0"/>
        <v>0</v>
      </c>
      <c r="G22" s="89"/>
      <c r="H22" s="88">
        <f t="shared" si="1"/>
        <v>0</v>
      </c>
      <c r="I22" s="88">
        <f t="shared" si="2"/>
        <v>0</v>
      </c>
      <c r="J22" s="87"/>
      <c r="K22" s="88">
        <f t="shared" si="3"/>
        <v>0</v>
      </c>
    </row>
    <row r="23" spans="1:11">
      <c r="A23" s="256"/>
      <c r="B23" s="257"/>
      <c r="C23" s="130"/>
      <c r="D23" s="135"/>
      <c r="E23" s="87"/>
      <c r="F23" s="115">
        <f t="shared" si="0"/>
        <v>0</v>
      </c>
      <c r="G23" s="89"/>
      <c r="H23" s="88">
        <f t="shared" si="1"/>
        <v>0</v>
      </c>
      <c r="I23" s="88">
        <f t="shared" si="2"/>
        <v>0</v>
      </c>
      <c r="J23" s="87"/>
      <c r="K23" s="88">
        <f t="shared" si="3"/>
        <v>0</v>
      </c>
    </row>
    <row r="24" spans="1:11" ht="15.75" thickBot="1">
      <c r="A24" s="256"/>
      <c r="B24" s="257"/>
      <c r="C24" s="130"/>
      <c r="D24" s="135"/>
      <c r="E24" s="87"/>
      <c r="F24" s="115">
        <f t="shared" si="0"/>
        <v>0</v>
      </c>
      <c r="G24" s="89"/>
      <c r="H24" s="88">
        <f t="shared" si="1"/>
        <v>0</v>
      </c>
      <c r="I24" s="88">
        <f t="shared" si="2"/>
        <v>0</v>
      </c>
      <c r="J24" s="87"/>
      <c r="K24" s="88">
        <f t="shared" si="3"/>
        <v>0</v>
      </c>
    </row>
    <row r="25" spans="1:11">
      <c r="A25" s="261"/>
      <c r="B25" s="262"/>
      <c r="C25" s="133"/>
      <c r="D25" s="134"/>
      <c r="E25" s="87"/>
      <c r="F25" s="115">
        <f t="shared" si="0"/>
        <v>0</v>
      </c>
      <c r="G25" s="87"/>
      <c r="H25" s="88">
        <f t="shared" si="1"/>
        <v>0</v>
      </c>
      <c r="I25" s="88">
        <f t="shared" si="2"/>
        <v>0</v>
      </c>
      <c r="J25" s="87"/>
      <c r="K25" s="88">
        <f t="shared" si="3"/>
        <v>0</v>
      </c>
    </row>
    <row r="26" spans="1:11">
      <c r="A26" s="232"/>
      <c r="B26" s="233"/>
      <c r="C26" s="133"/>
      <c r="D26" s="134"/>
      <c r="E26" s="87"/>
      <c r="F26" s="115">
        <f t="shared" si="0"/>
        <v>0</v>
      </c>
      <c r="G26" s="87"/>
      <c r="H26" s="88">
        <f t="shared" si="1"/>
        <v>0</v>
      </c>
      <c r="I26" s="88">
        <f t="shared" si="2"/>
        <v>0</v>
      </c>
      <c r="J26" s="87"/>
      <c r="K26" s="88">
        <f t="shared" si="3"/>
        <v>0</v>
      </c>
    </row>
    <row r="27" spans="1:11">
      <c r="A27" s="232"/>
      <c r="B27" s="233"/>
      <c r="C27" s="133"/>
      <c r="D27" s="134"/>
      <c r="E27" s="87"/>
      <c r="F27" s="115">
        <f t="shared" si="0"/>
        <v>0</v>
      </c>
      <c r="G27" s="87"/>
      <c r="H27" s="88">
        <f t="shared" si="1"/>
        <v>0</v>
      </c>
      <c r="I27" s="88">
        <f t="shared" si="2"/>
        <v>0</v>
      </c>
      <c r="J27" s="87"/>
      <c r="K27" s="88">
        <f t="shared" si="3"/>
        <v>0</v>
      </c>
    </row>
    <row r="28" spans="1:11">
      <c r="A28" s="232"/>
      <c r="B28" s="233"/>
      <c r="C28" s="133"/>
      <c r="D28" s="134"/>
      <c r="E28" s="87"/>
      <c r="F28" s="115">
        <f t="shared" si="0"/>
        <v>0</v>
      </c>
      <c r="G28" s="87"/>
      <c r="H28" s="88">
        <f t="shared" si="1"/>
        <v>0</v>
      </c>
      <c r="I28" s="88">
        <f t="shared" si="2"/>
        <v>0</v>
      </c>
      <c r="J28" s="87"/>
      <c r="K28" s="88">
        <f t="shared" si="3"/>
        <v>0</v>
      </c>
    </row>
    <row r="29" spans="1:11">
      <c r="A29" s="232"/>
      <c r="B29" s="233"/>
      <c r="C29" s="133"/>
      <c r="D29" s="134"/>
      <c r="E29" s="87"/>
      <c r="F29" s="115">
        <f t="shared" si="0"/>
        <v>0</v>
      </c>
      <c r="G29" s="87"/>
      <c r="H29" s="88">
        <f t="shared" si="1"/>
        <v>0</v>
      </c>
      <c r="I29" s="88">
        <f t="shared" si="2"/>
        <v>0</v>
      </c>
      <c r="J29" s="87"/>
      <c r="K29" s="88">
        <f t="shared" si="3"/>
        <v>0</v>
      </c>
    </row>
    <row r="30" spans="1:11">
      <c r="A30" s="232"/>
      <c r="B30" s="233"/>
      <c r="C30" s="133"/>
      <c r="D30" s="134"/>
      <c r="E30" s="87"/>
      <c r="F30" s="115">
        <f t="shared" si="0"/>
        <v>0</v>
      </c>
      <c r="G30" s="87"/>
      <c r="H30" s="88">
        <f t="shared" si="1"/>
        <v>0</v>
      </c>
      <c r="I30" s="88">
        <f t="shared" si="2"/>
        <v>0</v>
      </c>
      <c r="J30" s="87"/>
      <c r="K30" s="88">
        <f t="shared" si="3"/>
        <v>0</v>
      </c>
    </row>
    <row r="31" spans="1:11">
      <c r="A31" s="232"/>
      <c r="B31" s="233"/>
      <c r="C31" s="133"/>
      <c r="D31" s="134"/>
      <c r="E31" s="87"/>
      <c r="F31" s="115">
        <f t="shared" si="0"/>
        <v>0</v>
      </c>
      <c r="G31" s="87"/>
      <c r="H31" s="88">
        <f t="shared" si="1"/>
        <v>0</v>
      </c>
      <c r="I31" s="88">
        <f t="shared" si="2"/>
        <v>0</v>
      </c>
      <c r="J31" s="87"/>
      <c r="K31" s="88">
        <f t="shared" si="3"/>
        <v>0</v>
      </c>
    </row>
    <row r="32" spans="1:11">
      <c r="A32" s="195"/>
      <c r="B32" s="196"/>
      <c r="C32" s="133"/>
      <c r="D32" s="134"/>
      <c r="E32" s="87"/>
      <c r="F32" s="115">
        <f t="shared" si="0"/>
        <v>0</v>
      </c>
      <c r="G32" s="87"/>
      <c r="H32" s="88">
        <f t="shared" si="1"/>
        <v>0</v>
      </c>
      <c r="I32" s="88">
        <f t="shared" si="2"/>
        <v>0</v>
      </c>
      <c r="J32" s="87"/>
      <c r="K32" s="88">
        <f t="shared" si="3"/>
        <v>0</v>
      </c>
    </row>
    <row r="33" spans="1:11">
      <c r="A33" s="195"/>
      <c r="B33" s="196"/>
      <c r="C33" s="133"/>
      <c r="D33" s="134"/>
      <c r="E33" s="87"/>
      <c r="F33" s="115">
        <f t="shared" si="0"/>
        <v>0</v>
      </c>
      <c r="G33" s="87"/>
      <c r="H33" s="88">
        <f t="shared" si="1"/>
        <v>0</v>
      </c>
      <c r="I33" s="88">
        <f t="shared" si="2"/>
        <v>0</v>
      </c>
      <c r="J33" s="87"/>
      <c r="K33" s="88">
        <f t="shared" si="3"/>
        <v>0</v>
      </c>
    </row>
    <row r="34" spans="1:11">
      <c r="A34" s="195"/>
      <c r="B34" s="196"/>
      <c r="C34" s="133"/>
      <c r="D34" s="134"/>
      <c r="E34" s="87"/>
      <c r="F34" s="115">
        <f t="shared" si="0"/>
        <v>0</v>
      </c>
      <c r="G34" s="87"/>
      <c r="H34" s="88">
        <f t="shared" si="1"/>
        <v>0</v>
      </c>
      <c r="I34" s="88">
        <f t="shared" si="2"/>
        <v>0</v>
      </c>
      <c r="J34" s="87"/>
      <c r="K34" s="88">
        <f t="shared" si="3"/>
        <v>0</v>
      </c>
    </row>
    <row r="35" spans="1:11">
      <c r="A35" s="195"/>
      <c r="B35" s="196"/>
      <c r="C35" s="133"/>
      <c r="D35" s="134"/>
      <c r="E35" s="87"/>
      <c r="F35" s="115">
        <f t="shared" si="0"/>
        <v>0</v>
      </c>
      <c r="G35" s="87"/>
      <c r="H35" s="88">
        <f t="shared" si="1"/>
        <v>0</v>
      </c>
      <c r="I35" s="88">
        <f t="shared" si="2"/>
        <v>0</v>
      </c>
      <c r="J35" s="87"/>
      <c r="K35" s="88">
        <f t="shared" si="3"/>
        <v>0</v>
      </c>
    </row>
    <row r="36" spans="1:11">
      <c r="A36" s="195"/>
      <c r="B36" s="196"/>
      <c r="C36" s="133"/>
      <c r="D36" s="134"/>
      <c r="E36" s="87"/>
      <c r="F36" s="115">
        <f t="shared" si="0"/>
        <v>0</v>
      </c>
      <c r="G36" s="87"/>
      <c r="H36" s="88">
        <f t="shared" si="1"/>
        <v>0</v>
      </c>
      <c r="I36" s="88">
        <f t="shared" si="2"/>
        <v>0</v>
      </c>
      <c r="J36" s="87"/>
      <c r="K36" s="88">
        <f t="shared" si="3"/>
        <v>0</v>
      </c>
    </row>
    <row r="37" spans="1:11">
      <c r="A37" s="195"/>
      <c r="B37" s="196"/>
      <c r="C37" s="133"/>
      <c r="D37" s="134"/>
      <c r="E37" s="87"/>
      <c r="F37" s="115">
        <f t="shared" si="0"/>
        <v>0</v>
      </c>
      <c r="G37" s="87"/>
      <c r="H37" s="88">
        <f t="shared" si="1"/>
        <v>0</v>
      </c>
      <c r="I37" s="88">
        <f t="shared" ref="I37:I51" si="4">IF(OR(G37=0,F37=0),0,J37/G37)</f>
        <v>0</v>
      </c>
      <c r="J37" s="87"/>
      <c r="K37" s="88">
        <f t="shared" ref="K37:K49" si="5">IF(OR(J37=0,F37=0),0,J37/F37)</f>
        <v>0</v>
      </c>
    </row>
    <row r="38" spans="1:11">
      <c r="A38" s="195"/>
      <c r="B38" s="196"/>
      <c r="C38" s="133"/>
      <c r="D38" s="134"/>
      <c r="E38" s="87"/>
      <c r="F38" s="115">
        <f t="shared" si="0"/>
        <v>0</v>
      </c>
      <c r="G38" s="87"/>
      <c r="H38" s="88">
        <f t="shared" ref="H38:H50" si="6">IF(OR(G38=0,F38=0),0,G38/F38)</f>
        <v>0</v>
      </c>
      <c r="I38" s="88">
        <f t="shared" si="4"/>
        <v>0</v>
      </c>
      <c r="J38" s="87"/>
      <c r="K38" s="88">
        <f t="shared" si="5"/>
        <v>0</v>
      </c>
    </row>
    <row r="39" spans="1:11">
      <c r="A39" s="195"/>
      <c r="B39" s="196"/>
      <c r="C39" s="133"/>
      <c r="D39" s="134"/>
      <c r="E39" s="87"/>
      <c r="F39" s="115">
        <f t="shared" ref="F39:F55" si="7">+E39/46</f>
        <v>0</v>
      </c>
      <c r="G39" s="87"/>
      <c r="H39" s="88">
        <f t="shared" si="6"/>
        <v>0</v>
      </c>
      <c r="I39" s="88">
        <f t="shared" si="4"/>
        <v>0</v>
      </c>
      <c r="J39" s="87"/>
      <c r="K39" s="88">
        <f t="shared" si="5"/>
        <v>0</v>
      </c>
    </row>
    <row r="40" spans="1:11">
      <c r="A40" s="195"/>
      <c r="B40" s="196"/>
      <c r="C40" s="133"/>
      <c r="D40" s="134"/>
      <c r="E40" s="87"/>
      <c r="F40" s="115">
        <f t="shared" si="7"/>
        <v>0</v>
      </c>
      <c r="G40" s="87"/>
      <c r="H40" s="88">
        <f t="shared" si="6"/>
        <v>0</v>
      </c>
      <c r="I40" s="88">
        <f t="shared" si="4"/>
        <v>0</v>
      </c>
      <c r="J40" s="87"/>
      <c r="K40" s="88">
        <f t="shared" si="5"/>
        <v>0</v>
      </c>
    </row>
    <row r="41" spans="1:11">
      <c r="A41" s="195"/>
      <c r="B41" s="196"/>
      <c r="C41" s="133"/>
      <c r="D41" s="134"/>
      <c r="E41" s="87"/>
      <c r="F41" s="115">
        <f t="shared" si="7"/>
        <v>0</v>
      </c>
      <c r="G41" s="87"/>
      <c r="H41" s="88">
        <f t="shared" si="6"/>
        <v>0</v>
      </c>
      <c r="I41" s="88">
        <f t="shared" si="4"/>
        <v>0</v>
      </c>
      <c r="J41" s="87"/>
      <c r="K41" s="88">
        <f t="shared" si="5"/>
        <v>0</v>
      </c>
    </row>
    <row r="42" spans="1:11">
      <c r="A42" s="195"/>
      <c r="B42" s="196"/>
      <c r="C42" s="133"/>
      <c r="D42" s="134"/>
      <c r="E42" s="87"/>
      <c r="F42" s="115">
        <f t="shared" si="7"/>
        <v>0</v>
      </c>
      <c r="G42" s="87"/>
      <c r="H42" s="88">
        <f t="shared" si="6"/>
        <v>0</v>
      </c>
      <c r="I42" s="88">
        <f t="shared" si="4"/>
        <v>0</v>
      </c>
      <c r="J42" s="87"/>
      <c r="K42" s="88">
        <f t="shared" si="5"/>
        <v>0</v>
      </c>
    </row>
    <row r="43" spans="1:11">
      <c r="A43" s="195"/>
      <c r="B43" s="196"/>
      <c r="C43" s="133"/>
      <c r="D43" s="134"/>
      <c r="E43" s="87"/>
      <c r="F43" s="115">
        <f t="shared" si="7"/>
        <v>0</v>
      </c>
      <c r="G43" s="87"/>
      <c r="H43" s="88">
        <f t="shared" si="6"/>
        <v>0</v>
      </c>
      <c r="I43" s="88">
        <f t="shared" si="4"/>
        <v>0</v>
      </c>
      <c r="J43" s="87"/>
      <c r="K43" s="88">
        <f t="shared" si="5"/>
        <v>0</v>
      </c>
    </row>
    <row r="44" spans="1:11">
      <c r="A44" s="195"/>
      <c r="B44" s="196"/>
      <c r="C44" s="133"/>
      <c r="D44" s="134"/>
      <c r="E44" s="87"/>
      <c r="F44" s="115">
        <f t="shared" si="7"/>
        <v>0</v>
      </c>
      <c r="G44" s="87"/>
      <c r="H44" s="88">
        <f t="shared" si="6"/>
        <v>0</v>
      </c>
      <c r="I44" s="88">
        <f t="shared" si="4"/>
        <v>0</v>
      </c>
      <c r="J44" s="87"/>
      <c r="K44" s="88">
        <f t="shared" si="5"/>
        <v>0</v>
      </c>
    </row>
    <row r="45" spans="1:11">
      <c r="A45" s="195"/>
      <c r="B45" s="196"/>
      <c r="C45" s="133"/>
      <c r="D45" s="134"/>
      <c r="E45" s="87"/>
      <c r="F45" s="115">
        <f t="shared" si="7"/>
        <v>0</v>
      </c>
      <c r="G45" s="87"/>
      <c r="H45" s="88">
        <f t="shared" si="6"/>
        <v>0</v>
      </c>
      <c r="I45" s="88">
        <f t="shared" si="4"/>
        <v>0</v>
      </c>
      <c r="J45" s="87"/>
      <c r="K45" s="88">
        <f t="shared" si="5"/>
        <v>0</v>
      </c>
    </row>
    <row r="46" spans="1:11">
      <c r="A46" s="256"/>
      <c r="B46" s="257"/>
      <c r="C46" s="130"/>
      <c r="D46" s="135"/>
      <c r="E46" s="87"/>
      <c r="F46" s="115">
        <f t="shared" si="7"/>
        <v>0</v>
      </c>
      <c r="G46" s="89"/>
      <c r="H46" s="88">
        <f t="shared" si="6"/>
        <v>0</v>
      </c>
      <c r="I46" s="88">
        <f t="shared" si="4"/>
        <v>0</v>
      </c>
      <c r="J46" s="87"/>
      <c r="K46" s="88">
        <f t="shared" si="5"/>
        <v>0</v>
      </c>
    </row>
    <row r="47" spans="1:11">
      <c r="A47" s="256"/>
      <c r="B47" s="257"/>
      <c r="C47" s="130"/>
      <c r="D47" s="135"/>
      <c r="E47" s="87"/>
      <c r="F47" s="115">
        <f t="shared" si="7"/>
        <v>0</v>
      </c>
      <c r="G47" s="89"/>
      <c r="H47" s="88">
        <f t="shared" si="6"/>
        <v>0</v>
      </c>
      <c r="I47" s="88">
        <f t="shared" si="4"/>
        <v>0</v>
      </c>
      <c r="J47" s="87"/>
      <c r="K47" s="88">
        <f t="shared" si="5"/>
        <v>0</v>
      </c>
    </row>
    <row r="48" spans="1:11">
      <c r="A48" s="256"/>
      <c r="B48" s="257"/>
      <c r="C48" s="130"/>
      <c r="D48" s="135"/>
      <c r="E48" s="87"/>
      <c r="F48" s="115">
        <f t="shared" si="7"/>
        <v>0</v>
      </c>
      <c r="G48" s="89"/>
      <c r="H48" s="88">
        <f t="shared" si="6"/>
        <v>0</v>
      </c>
      <c r="I48" s="88">
        <f t="shared" si="4"/>
        <v>0</v>
      </c>
      <c r="J48" s="87"/>
      <c r="K48" s="88">
        <f t="shared" si="5"/>
        <v>0</v>
      </c>
    </row>
    <row r="49" spans="1:11">
      <c r="A49" s="195"/>
      <c r="B49" s="196"/>
      <c r="C49" s="130"/>
      <c r="D49" s="135"/>
      <c r="E49" s="87"/>
      <c r="F49" s="115">
        <f t="shared" si="7"/>
        <v>0</v>
      </c>
      <c r="G49" s="89"/>
      <c r="H49" s="88">
        <f t="shared" si="6"/>
        <v>0</v>
      </c>
      <c r="I49" s="88">
        <f t="shared" si="4"/>
        <v>0</v>
      </c>
      <c r="J49" s="87"/>
      <c r="K49" s="88">
        <f t="shared" si="5"/>
        <v>0</v>
      </c>
    </row>
    <row r="50" spans="1:11">
      <c r="A50" s="195"/>
      <c r="B50" s="196"/>
      <c r="C50" s="130"/>
      <c r="D50" s="135"/>
      <c r="E50" s="87"/>
      <c r="F50" s="115">
        <f t="shared" si="7"/>
        <v>0</v>
      </c>
      <c r="G50" s="89"/>
      <c r="H50" s="88">
        <f t="shared" si="6"/>
        <v>0</v>
      </c>
      <c r="I50" s="88">
        <f t="shared" si="4"/>
        <v>0</v>
      </c>
      <c r="J50" s="87"/>
      <c r="K50" s="88">
        <f t="shared" ref="K50:K52" si="8">IF(OR(J50=0,F50=0),0,J50/F50)</f>
        <v>0</v>
      </c>
    </row>
    <row r="51" spans="1:11">
      <c r="A51" s="195"/>
      <c r="B51" s="196"/>
      <c r="C51" s="130"/>
      <c r="D51" s="135"/>
      <c r="E51" s="87"/>
      <c r="F51" s="115">
        <f t="shared" si="7"/>
        <v>0</v>
      </c>
      <c r="G51" s="89"/>
      <c r="H51" s="88">
        <f t="shared" ref="H51:H52" si="9">IF(OR(G51=0,F51=0),0,G51/F51)</f>
        <v>0</v>
      </c>
      <c r="I51" s="88">
        <f t="shared" si="4"/>
        <v>0</v>
      </c>
      <c r="J51" s="87"/>
      <c r="K51" s="88">
        <f t="shared" si="8"/>
        <v>0</v>
      </c>
    </row>
    <row r="52" spans="1:11">
      <c r="A52" s="256"/>
      <c r="B52" s="257"/>
      <c r="C52" s="130"/>
      <c r="D52" s="135"/>
      <c r="E52" s="87"/>
      <c r="F52" s="115">
        <f t="shared" si="7"/>
        <v>0</v>
      </c>
      <c r="G52" s="89"/>
      <c r="H52" s="88">
        <f t="shared" si="9"/>
        <v>0</v>
      </c>
      <c r="I52" s="88">
        <f t="shared" ref="I52" si="10">IF(OR(G52=0,F52=0),0,J52/G52)</f>
        <v>0</v>
      </c>
      <c r="J52" s="87"/>
      <c r="K52" s="88">
        <f t="shared" si="8"/>
        <v>0</v>
      </c>
    </row>
    <row r="53" spans="1:11" ht="15.75" thickBot="1">
      <c r="A53" s="267"/>
      <c r="B53" s="268"/>
      <c r="C53" s="131"/>
      <c r="D53" s="132"/>
      <c r="E53" s="116"/>
      <c r="F53" s="115">
        <f t="shared" si="7"/>
        <v>0</v>
      </c>
      <c r="G53" s="117"/>
      <c r="H53" s="88">
        <f t="shared" si="1"/>
        <v>0</v>
      </c>
      <c r="I53" s="88">
        <f t="shared" si="2"/>
        <v>0</v>
      </c>
      <c r="J53" s="116"/>
      <c r="K53" s="88">
        <f t="shared" si="3"/>
        <v>0</v>
      </c>
    </row>
    <row r="54" spans="1:11" ht="19.5" thickTop="1" thickBot="1">
      <c r="A54" s="265" t="s">
        <v>56</v>
      </c>
      <c r="B54" s="266"/>
      <c r="C54" s="190"/>
      <c r="D54" s="191"/>
      <c r="E54" s="192">
        <f>SUM(E11:E53)</f>
        <v>0</v>
      </c>
      <c r="F54" s="115">
        <f t="shared" si="7"/>
        <v>0</v>
      </c>
      <c r="G54" s="193">
        <f>SUM(G11:G53)</f>
        <v>0</v>
      </c>
      <c r="H54" s="193">
        <f t="shared" ref="H54" si="11">IF(OR(G54=0,F54=0),0,G54/F54)</f>
        <v>0</v>
      </c>
      <c r="I54" s="193">
        <f>IF(OR(J54=0,G54=0),0,J54/G54)</f>
        <v>0</v>
      </c>
      <c r="J54" s="193">
        <f>SUM(J11:J53)</f>
        <v>0</v>
      </c>
      <c r="K54" s="118">
        <f t="shared" ref="K54" si="12">IF(OR(J54=0,F54=0),0,J54/F54)</f>
        <v>0</v>
      </c>
    </row>
    <row r="55" spans="1:11" ht="11.1" customHeight="1" thickTop="1">
      <c r="F55" s="115">
        <f t="shared" si="7"/>
        <v>0</v>
      </c>
    </row>
    <row r="56" spans="1:11">
      <c r="K56" s="231"/>
    </row>
    <row r="57" spans="1:11">
      <c r="A57" t="s">
        <v>57</v>
      </c>
      <c r="G57" s="91"/>
      <c r="H57" s="91"/>
      <c r="K57" s="231"/>
    </row>
    <row r="58" spans="1:11">
      <c r="G58" s="91"/>
      <c r="H58" s="91"/>
      <c r="K58" s="231"/>
    </row>
    <row r="59" spans="1:11">
      <c r="G59" s="91"/>
      <c r="H59" s="91"/>
      <c r="I59" s="72"/>
    </row>
    <row r="60" spans="1:11">
      <c r="G60" s="91"/>
      <c r="H60" s="91"/>
      <c r="I60" s="72"/>
    </row>
  </sheetData>
  <sheetProtection insertRows="0"/>
  <mergeCells count="16">
    <mergeCell ref="A54:B54"/>
    <mergeCell ref="A24:B24"/>
    <mergeCell ref="A53:B53"/>
    <mergeCell ref="A52:B52"/>
    <mergeCell ref="A23:B23"/>
    <mergeCell ref="A25:B25"/>
    <mergeCell ref="A46:B46"/>
    <mergeCell ref="A47:B47"/>
    <mergeCell ref="A48:B48"/>
    <mergeCell ref="A22:B22"/>
    <mergeCell ref="A1:K1"/>
    <mergeCell ref="A2:K2"/>
    <mergeCell ref="A10:B10"/>
    <mergeCell ref="A11:B11"/>
    <mergeCell ref="A5:K5"/>
    <mergeCell ref="A6:K6"/>
  </mergeCells>
  <phoneticPr fontId="19" type="noConversion"/>
  <printOptions horizontalCentered="1" verticalCentered="1"/>
  <pageMargins left="0" right="0" top="0" bottom="0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A1:H27"/>
  <sheetViews>
    <sheetView showGridLines="0" view="pageBreakPreview" zoomScaleNormal="80" zoomScaleSheetLayoutView="100" workbookViewId="0">
      <selection activeCell="H10" sqref="H10"/>
    </sheetView>
  </sheetViews>
  <sheetFormatPr baseColWidth="10" defaultColWidth="11.42578125" defaultRowHeight="15"/>
  <cols>
    <col min="1" max="1" width="16.7109375" customWidth="1"/>
    <col min="2" max="2" width="36.5703125" customWidth="1"/>
    <col min="3" max="3" width="11.7109375" customWidth="1"/>
    <col min="4" max="4" width="14" style="92" bestFit="1" customWidth="1"/>
    <col min="5" max="5" width="14" customWidth="1"/>
    <col min="6" max="6" width="14.42578125" customWidth="1"/>
    <col min="7" max="7" width="16.42578125" customWidth="1"/>
    <col min="8" max="8" width="22.5703125" customWidth="1"/>
  </cols>
  <sheetData>
    <row r="1" spans="1:8" ht="26.25">
      <c r="A1" s="258" t="s">
        <v>39</v>
      </c>
      <c r="B1" s="258"/>
      <c r="C1" s="258"/>
      <c r="D1" s="258"/>
      <c r="E1" s="258"/>
      <c r="F1" s="258"/>
      <c r="G1" s="258"/>
      <c r="H1" s="258"/>
    </row>
    <row r="2" spans="1:8" ht="24" thickBot="1">
      <c r="A2" s="274" t="s">
        <v>58</v>
      </c>
      <c r="B2" s="274"/>
      <c r="C2" s="274"/>
      <c r="D2" s="274"/>
      <c r="E2" s="274"/>
      <c r="F2" s="274"/>
      <c r="G2" s="274"/>
      <c r="H2" s="274"/>
    </row>
    <row r="3" spans="1:8" ht="18.75" thickBot="1">
      <c r="D3" s="198" t="s">
        <v>59</v>
      </c>
      <c r="E3" s="277" t="str">
        <f>+'Café Fruta(1)'!G3</f>
        <v>2022-2023</v>
      </c>
      <c r="F3" s="278"/>
    </row>
    <row r="5" spans="1:8" ht="15.75" thickBot="1">
      <c r="G5" t="s">
        <v>60</v>
      </c>
      <c r="H5">
        <f>'Café Fruta(1)'!D5</f>
        <v>0</v>
      </c>
    </row>
    <row r="6" spans="1:8" ht="19.5" thickBot="1">
      <c r="A6" s="94" t="s">
        <v>61</v>
      </c>
      <c r="B6" s="279">
        <f>+'Café Fruta(1)'!F4</f>
        <v>0</v>
      </c>
      <c r="C6" s="279"/>
      <c r="D6" s="279"/>
      <c r="E6" s="279"/>
      <c r="F6" s="163"/>
      <c r="G6" s="164" t="s">
        <v>45</v>
      </c>
      <c r="H6" s="165">
        <f>+'Café Fruta(1)'!L4</f>
        <v>0</v>
      </c>
    </row>
    <row r="7" spans="1:8">
      <c r="F7" s="81"/>
      <c r="H7" s="82"/>
    </row>
    <row r="8" spans="1:8" ht="15.75" thickBot="1">
      <c r="A8" s="1"/>
      <c r="B8" s="1"/>
      <c r="C8" s="1"/>
      <c r="D8" s="93"/>
      <c r="E8" s="1"/>
      <c r="G8" s="1"/>
      <c r="H8" s="1"/>
    </row>
    <row r="9" spans="1:8" s="86" customFormat="1" ht="26.25" thickBot="1">
      <c r="A9" s="259" t="s">
        <v>46</v>
      </c>
      <c r="B9" s="260"/>
      <c r="C9" s="83" t="s">
        <v>62</v>
      </c>
      <c r="D9" s="83" t="s">
        <v>63</v>
      </c>
      <c r="E9" s="83" t="s">
        <v>49</v>
      </c>
      <c r="F9" s="83" t="s">
        <v>64</v>
      </c>
      <c r="G9" s="83" t="s">
        <v>65</v>
      </c>
      <c r="H9" s="90" t="s">
        <v>66</v>
      </c>
    </row>
    <row r="10" spans="1:8">
      <c r="A10" s="275"/>
      <c r="B10" s="276"/>
      <c r="C10" s="87"/>
      <c r="D10" s="87"/>
      <c r="E10" s="87"/>
      <c r="F10" s="88">
        <f t="shared" ref="F10:F21" si="0">+E10/46</f>
        <v>0</v>
      </c>
      <c r="G10" s="88">
        <f t="shared" ref="G10:G21" si="1">IF(OR(H10=0,F10=0),0,H10/F10)</f>
        <v>0</v>
      </c>
      <c r="H10" s="87"/>
    </row>
    <row r="11" spans="1:8">
      <c r="A11" s="269"/>
      <c r="B11" s="270"/>
      <c r="C11" s="87"/>
      <c r="D11" s="87"/>
      <c r="E11" s="87"/>
      <c r="F11" s="88">
        <f>+E11/46</f>
        <v>0</v>
      </c>
      <c r="G11" s="88">
        <f t="shared" si="1"/>
        <v>0</v>
      </c>
      <c r="H11" s="87"/>
    </row>
    <row r="12" spans="1:8">
      <c r="A12" s="269"/>
      <c r="B12" s="270"/>
      <c r="C12" s="87"/>
      <c r="D12" s="87"/>
      <c r="E12" s="87"/>
      <c r="F12" s="88">
        <f>+E12/46</f>
        <v>0</v>
      </c>
      <c r="G12" s="88">
        <f t="shared" si="1"/>
        <v>0</v>
      </c>
      <c r="H12" s="87"/>
    </row>
    <row r="13" spans="1:8">
      <c r="A13" s="269"/>
      <c r="B13" s="270"/>
      <c r="C13" s="87"/>
      <c r="D13" s="87"/>
      <c r="E13" s="87"/>
      <c r="F13" s="88">
        <f t="shared" si="0"/>
        <v>0</v>
      </c>
      <c r="G13" s="88">
        <f t="shared" si="1"/>
        <v>0</v>
      </c>
      <c r="H13" s="87"/>
    </row>
    <row r="14" spans="1:8">
      <c r="A14" s="269"/>
      <c r="B14" s="270"/>
      <c r="C14" s="87"/>
      <c r="D14" s="87"/>
      <c r="E14" s="87"/>
      <c r="F14" s="88">
        <f t="shared" si="0"/>
        <v>0</v>
      </c>
      <c r="G14" s="88">
        <f t="shared" si="1"/>
        <v>0</v>
      </c>
      <c r="H14" s="87"/>
    </row>
    <row r="15" spans="1:8">
      <c r="A15" s="269"/>
      <c r="B15" s="270"/>
      <c r="C15" s="87"/>
      <c r="D15" s="87"/>
      <c r="E15" s="87"/>
      <c r="F15" s="88">
        <f t="shared" si="0"/>
        <v>0</v>
      </c>
      <c r="G15" s="88">
        <f t="shared" si="1"/>
        <v>0</v>
      </c>
      <c r="H15" s="87"/>
    </row>
    <row r="16" spans="1:8">
      <c r="A16" s="269"/>
      <c r="B16" s="270"/>
      <c r="C16" s="87"/>
      <c r="D16" s="87"/>
      <c r="E16" s="87"/>
      <c r="F16" s="88">
        <f t="shared" si="0"/>
        <v>0</v>
      </c>
      <c r="G16" s="88">
        <f t="shared" si="1"/>
        <v>0</v>
      </c>
      <c r="H16" s="87"/>
    </row>
    <row r="17" spans="1:8">
      <c r="A17" s="269"/>
      <c r="B17" s="270"/>
      <c r="C17" s="87"/>
      <c r="D17" s="87"/>
      <c r="E17" s="87"/>
      <c r="F17" s="88">
        <f t="shared" si="0"/>
        <v>0</v>
      </c>
      <c r="G17" s="88">
        <f t="shared" si="1"/>
        <v>0</v>
      </c>
      <c r="H17" s="87"/>
    </row>
    <row r="18" spans="1:8">
      <c r="A18" s="269"/>
      <c r="B18" s="270"/>
      <c r="C18" s="87"/>
      <c r="D18" s="87"/>
      <c r="E18" s="87"/>
      <c r="F18" s="88">
        <f t="shared" si="0"/>
        <v>0</v>
      </c>
      <c r="G18" s="88">
        <f t="shared" si="1"/>
        <v>0</v>
      </c>
      <c r="H18" s="87"/>
    </row>
    <row r="19" spans="1:8">
      <c r="A19" s="269"/>
      <c r="B19" s="270"/>
      <c r="C19" s="87"/>
      <c r="D19" s="87"/>
      <c r="E19" s="87"/>
      <c r="F19" s="88">
        <f t="shared" si="0"/>
        <v>0</v>
      </c>
      <c r="G19" s="88">
        <f t="shared" si="1"/>
        <v>0</v>
      </c>
      <c r="H19" s="87"/>
    </row>
    <row r="20" spans="1:8" ht="15.75" thickBot="1">
      <c r="A20" s="272"/>
      <c r="B20" s="273"/>
      <c r="C20" s="87"/>
      <c r="D20" s="87"/>
      <c r="E20" s="87"/>
      <c r="F20" s="88">
        <f t="shared" si="0"/>
        <v>0</v>
      </c>
      <c r="G20" s="88">
        <f t="shared" si="1"/>
        <v>0</v>
      </c>
      <c r="H20" s="87"/>
    </row>
    <row r="21" spans="1:8" ht="19.5" thickTop="1" thickBot="1">
      <c r="A21" s="265" t="s">
        <v>56</v>
      </c>
      <c r="B21" s="271"/>
      <c r="C21" s="200"/>
      <c r="D21" s="200"/>
      <c r="E21" s="200">
        <f>SUM(E10:E20)</f>
        <v>0</v>
      </c>
      <c r="F21" s="200">
        <f t="shared" si="0"/>
        <v>0</v>
      </c>
      <c r="G21" s="200">
        <f t="shared" si="1"/>
        <v>0</v>
      </c>
      <c r="H21" s="200">
        <f>SUM(H10:H20)</f>
        <v>0</v>
      </c>
    </row>
    <row r="22" spans="1:8" ht="11.1" customHeight="1" thickTop="1"/>
    <row r="23" spans="1:8">
      <c r="H23" s="231"/>
    </row>
    <row r="24" spans="1:8">
      <c r="H24" s="231"/>
    </row>
    <row r="25" spans="1:8">
      <c r="H25" s="231"/>
    </row>
    <row r="27" spans="1:8">
      <c r="A27" t="s">
        <v>67</v>
      </c>
    </row>
  </sheetData>
  <sheetProtection algorithmName="SHA-512" hashValue="tyzPU3S8bpuQzrnyzn1uwZ4bk+N15C8ujTNWaK8RidijpGe/RhxnmCfABaHdHzJSLnciySR+FnGSiVd7DrToAQ==" saltValue="53bjsiUMsK6yEleWeOVhow==" spinCount="100000" sheet="1" objects="1" scenarios="1"/>
  <mergeCells count="17">
    <mergeCell ref="A11:B11"/>
    <mergeCell ref="A12:B12"/>
    <mergeCell ref="A1:H1"/>
    <mergeCell ref="A2:H2"/>
    <mergeCell ref="A9:B9"/>
    <mergeCell ref="A10:B10"/>
    <mergeCell ref="E3:F3"/>
    <mergeCell ref="B6:E6"/>
    <mergeCell ref="A15:B15"/>
    <mergeCell ref="A13:B13"/>
    <mergeCell ref="A14:B14"/>
    <mergeCell ref="A21:B21"/>
    <mergeCell ref="A16:B16"/>
    <mergeCell ref="A17:B17"/>
    <mergeCell ref="A18:B18"/>
    <mergeCell ref="A19:B19"/>
    <mergeCell ref="A20:B20"/>
  </mergeCells>
  <phoneticPr fontId="19" type="noConversion"/>
  <printOptions horizontalCentered="1" verticalCentered="1"/>
  <pageMargins left="0" right="0" top="0" bottom="0" header="0" footer="0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H49"/>
  <sheetViews>
    <sheetView showGridLines="0" view="pageBreakPreview" zoomScale="60" zoomScaleNormal="100" workbookViewId="0">
      <selection activeCell="G11" sqref="G11"/>
    </sheetView>
  </sheetViews>
  <sheetFormatPr baseColWidth="10" defaultColWidth="11.42578125" defaultRowHeight="15"/>
  <cols>
    <col min="1" max="2" width="1.42578125" customWidth="1"/>
    <col min="3" max="3" width="2.140625" customWidth="1"/>
    <col min="4" max="4" width="23.5703125" customWidth="1"/>
    <col min="5" max="5" width="22" customWidth="1"/>
    <col min="6" max="6" width="12.85546875" bestFit="1" customWidth="1"/>
    <col min="7" max="7" width="22.140625" customWidth="1"/>
    <col min="8" max="8" width="1.42578125" customWidth="1"/>
  </cols>
  <sheetData>
    <row r="1" spans="1:7" ht="6.75" customHeight="1"/>
    <row r="2" spans="1:7">
      <c r="C2" s="280" t="s">
        <v>68</v>
      </c>
      <c r="D2" s="280"/>
      <c r="E2" s="280"/>
      <c r="F2" s="280"/>
      <c r="G2" s="280"/>
    </row>
    <row r="3" spans="1:7" ht="15.75">
      <c r="A3" s="177"/>
      <c r="B3" s="178"/>
      <c r="C3" s="179"/>
      <c r="D3" s="180">
        <f>+'Café Fruta(1)'!L4</f>
        <v>0</v>
      </c>
      <c r="E3" s="181">
        <f>+'Café Fruta(1)'!F4</f>
        <v>0</v>
      </c>
      <c r="F3" s="179"/>
      <c r="G3" s="179"/>
    </row>
    <row r="4" spans="1:7">
      <c r="C4" s="263" t="s">
        <v>69</v>
      </c>
      <c r="D4" s="263"/>
      <c r="E4" s="263"/>
      <c r="F4" s="263"/>
      <c r="G4" s="263"/>
    </row>
    <row r="5" spans="1:7">
      <c r="E5" s="101" t="s">
        <v>70</v>
      </c>
      <c r="F5" s="152" t="str">
        <f>+'Café Fruta(1)'!G3</f>
        <v>2022-2023</v>
      </c>
    </row>
    <row r="6" spans="1:7">
      <c r="C6" s="263" t="s">
        <v>71</v>
      </c>
      <c r="D6" s="263"/>
      <c r="E6" s="263"/>
      <c r="F6" s="114">
        <f>+'Café Fruta(1)'!D5</f>
        <v>0</v>
      </c>
    </row>
    <row r="7" spans="1:7" ht="15.75" thickBot="1">
      <c r="D7" s="169"/>
      <c r="E7" s="170"/>
      <c r="F7" s="148"/>
    </row>
    <row r="8" spans="1:7" s="59" customFormat="1" ht="15.95" customHeight="1">
      <c r="C8" s="57"/>
      <c r="F8" s="54" t="s">
        <v>72</v>
      </c>
      <c r="G8" s="58" t="s">
        <v>73</v>
      </c>
    </row>
    <row r="9" spans="1:7" s="59" customFormat="1" ht="15.95" customHeight="1" thickBot="1">
      <c r="C9" s="60" t="s">
        <v>74</v>
      </c>
      <c r="D9" s="61"/>
      <c r="E9" s="61"/>
      <c r="F9" s="62" t="s">
        <v>75</v>
      </c>
      <c r="G9" s="63" t="s">
        <v>76</v>
      </c>
    </row>
    <row r="10" spans="1:7" s="59" customFormat="1" ht="4.5" customHeight="1">
      <c r="F10" s="64"/>
      <c r="G10" s="65"/>
    </row>
    <row r="11" spans="1:7" s="59" customFormat="1" ht="15.95" customHeight="1">
      <c r="C11" s="66" t="s">
        <v>77</v>
      </c>
      <c r="D11" s="66"/>
      <c r="E11" s="66"/>
      <c r="F11" s="67" t="str">
        <f>IF($G$33=0,"",G11/$G$33)</f>
        <v/>
      </c>
      <c r="G11" s="166"/>
    </row>
    <row r="12" spans="1:7" s="59" customFormat="1" ht="15.95" customHeight="1">
      <c r="D12" s="69" t="s">
        <v>78</v>
      </c>
      <c r="E12" s="69"/>
      <c r="F12" s="70" t="str">
        <f>IF($G$33=0,"",G12/$G$33)</f>
        <v/>
      </c>
      <c r="G12" s="166"/>
    </row>
    <row r="13" spans="1:7" s="59" customFormat="1" ht="15.95" customHeight="1">
      <c r="D13" s="66" t="s">
        <v>79</v>
      </c>
      <c r="E13" s="66"/>
      <c r="F13" s="67" t="str">
        <f t="shared" ref="F13:F25" si="0">IF($G$33=0,"",G13/$G$33)</f>
        <v/>
      </c>
      <c r="G13" s="166"/>
    </row>
    <row r="14" spans="1:7" s="59" customFormat="1" ht="15.95" customHeight="1">
      <c r="C14" s="66" t="s">
        <v>80</v>
      </c>
      <c r="D14" s="66"/>
      <c r="E14" s="66"/>
      <c r="F14" s="67" t="str">
        <f t="shared" si="0"/>
        <v/>
      </c>
      <c r="G14" s="166"/>
    </row>
    <row r="15" spans="1:7" s="59" customFormat="1" ht="15.95" customHeight="1">
      <c r="C15" s="66" t="s">
        <v>81</v>
      </c>
      <c r="D15" s="66"/>
      <c r="E15" s="66"/>
      <c r="F15" s="67" t="str">
        <f t="shared" si="0"/>
        <v/>
      </c>
      <c r="G15" s="166"/>
    </row>
    <row r="16" spans="1:7" s="59" customFormat="1" ht="15.95" customHeight="1">
      <c r="C16" s="66" t="s">
        <v>82</v>
      </c>
      <c r="D16" s="66"/>
      <c r="E16" s="66"/>
      <c r="F16" s="67" t="str">
        <f t="shared" si="0"/>
        <v/>
      </c>
      <c r="G16" s="166"/>
    </row>
    <row r="17" spans="3:7" s="59" customFormat="1" ht="15.95" customHeight="1">
      <c r="C17" s="59" t="s">
        <v>83</v>
      </c>
      <c r="F17" s="64" t="str">
        <f t="shared" si="0"/>
        <v/>
      </c>
      <c r="G17" s="166"/>
    </row>
    <row r="18" spans="3:7" s="59" customFormat="1" ht="15.95" customHeight="1">
      <c r="C18" s="69" t="s">
        <v>84</v>
      </c>
      <c r="D18" s="69"/>
      <c r="E18" s="69"/>
      <c r="F18" s="70" t="str">
        <f t="shared" si="0"/>
        <v/>
      </c>
      <c r="G18" s="166"/>
    </row>
    <row r="19" spans="3:7" s="59" customFormat="1" ht="15.95" customHeight="1">
      <c r="C19" s="69" t="s">
        <v>85</v>
      </c>
      <c r="D19" s="69"/>
      <c r="E19" s="69"/>
      <c r="F19" s="70" t="str">
        <f t="shared" si="0"/>
        <v/>
      </c>
      <c r="G19" s="166"/>
    </row>
    <row r="20" spans="3:7" s="59" customFormat="1" ht="15.95" customHeight="1">
      <c r="C20" s="69" t="s">
        <v>86</v>
      </c>
      <c r="D20" s="69"/>
      <c r="E20" s="69"/>
      <c r="F20" s="70" t="str">
        <f t="shared" si="0"/>
        <v/>
      </c>
      <c r="G20" s="166"/>
    </row>
    <row r="21" spans="3:7" s="59" customFormat="1" ht="15.95" customHeight="1">
      <c r="C21" s="66" t="s">
        <v>87</v>
      </c>
      <c r="D21" s="66"/>
      <c r="E21" s="66"/>
      <c r="F21" s="67" t="str">
        <f t="shared" si="0"/>
        <v/>
      </c>
      <c r="G21" s="166"/>
    </row>
    <row r="22" spans="3:7" s="59" customFormat="1" ht="15.95" customHeight="1">
      <c r="C22" s="66" t="s">
        <v>88</v>
      </c>
      <c r="D22" s="66"/>
      <c r="E22" s="66"/>
      <c r="F22" s="67" t="str">
        <f t="shared" si="0"/>
        <v/>
      </c>
      <c r="G22" s="166"/>
    </row>
    <row r="23" spans="3:7" s="59" customFormat="1" ht="15.95" customHeight="1">
      <c r="C23" s="66" t="s">
        <v>89</v>
      </c>
      <c r="D23" s="66"/>
      <c r="E23" s="66"/>
      <c r="F23" s="67" t="str">
        <f t="shared" si="0"/>
        <v/>
      </c>
      <c r="G23" s="166"/>
    </row>
    <row r="24" spans="3:7" s="59" customFormat="1" ht="15.95" customHeight="1">
      <c r="C24" s="66" t="s">
        <v>90</v>
      </c>
      <c r="D24" s="66"/>
      <c r="E24" s="66"/>
      <c r="F24" s="67" t="str">
        <f t="shared" si="0"/>
        <v/>
      </c>
      <c r="G24" s="166"/>
    </row>
    <row r="25" spans="3:7" s="59" customFormat="1" ht="15.95" customHeight="1">
      <c r="C25" s="59" t="s">
        <v>91</v>
      </c>
      <c r="F25" s="64" t="str">
        <f t="shared" si="0"/>
        <v/>
      </c>
      <c r="G25" s="166"/>
    </row>
    <row r="26" spans="3:7" ht="21.75" customHeight="1" thickBot="1">
      <c r="D26" s="55"/>
      <c r="E26" s="55"/>
      <c r="F26" s="183"/>
      <c r="G26" s="184"/>
    </row>
    <row r="27" spans="3:7" ht="18" customHeight="1" thickBot="1">
      <c r="C27" s="73" t="s">
        <v>92</v>
      </c>
      <c r="D27" s="74"/>
      <c r="E27" s="74"/>
      <c r="F27" s="75" t="str">
        <f>IF($G$33=0,"",SUM(F11:F26))</f>
        <v/>
      </c>
      <c r="G27" s="76">
        <f>SUM(G11:G26)</f>
        <v>0</v>
      </c>
    </row>
    <row r="28" spans="3:7" ht="3.75" customHeight="1">
      <c r="F28" s="71"/>
      <c r="G28" s="72"/>
    </row>
    <row r="29" spans="3:7" ht="15.95" customHeight="1">
      <c r="C29" t="s">
        <v>93</v>
      </c>
      <c r="F29" s="71" t="str">
        <f>IF($G$33=0,"",G29/$G$33)</f>
        <v/>
      </c>
      <c r="G29" s="184"/>
    </row>
    <row r="30" spans="3:7" ht="16.5" customHeight="1" thickBot="1">
      <c r="C30" s="59" t="s">
        <v>94</v>
      </c>
      <c r="F30" s="71"/>
      <c r="G30" s="167"/>
    </row>
    <row r="31" spans="3:7" ht="18" customHeight="1" thickBot="1">
      <c r="C31" s="77" t="s">
        <v>95</v>
      </c>
      <c r="D31" s="74"/>
      <c r="E31" s="74"/>
      <c r="F31" s="75" t="str">
        <f>IF($G$33=0,"",SUM(F27:F29))</f>
        <v/>
      </c>
      <c r="G31" s="76">
        <f>SUM(G27:G29)</f>
        <v>0</v>
      </c>
    </row>
    <row r="32" spans="3:7" ht="15.75" thickBot="1"/>
    <row r="33" spans="3:8" ht="15.75" thickBot="1">
      <c r="E33" s="77" t="s">
        <v>96</v>
      </c>
      <c r="F33" s="78"/>
      <c r="G33" s="182">
        <f>+'Ventas Export.(2)'!E54+'Ventas Cons.Nac.(3)'!E21</f>
        <v>0</v>
      </c>
    </row>
    <row r="34" spans="3:8" ht="19.5" customHeight="1">
      <c r="C34" s="80" t="s">
        <v>97</v>
      </c>
    </row>
    <row r="35" spans="3:8" ht="6" customHeight="1"/>
    <row r="36" spans="3:8" ht="15" customHeight="1">
      <c r="C36" t="s">
        <v>98</v>
      </c>
      <c r="G36" s="59"/>
    </row>
    <row r="37" spans="3:8" ht="15" customHeight="1">
      <c r="C37" t="s">
        <v>99</v>
      </c>
      <c r="G37" s="59"/>
    </row>
    <row r="38" spans="3:8" ht="15" customHeight="1">
      <c r="C38" t="s">
        <v>100</v>
      </c>
      <c r="G38" s="59"/>
    </row>
    <row r="39" spans="3:8" ht="6.75" customHeight="1"/>
    <row r="41" spans="3:8" ht="15.75" thickBot="1"/>
    <row r="42" spans="3:8">
      <c r="F42" s="281" t="s">
        <v>101</v>
      </c>
      <c r="G42" s="282"/>
      <c r="H42" s="283"/>
    </row>
    <row r="43" spans="3:8">
      <c r="F43" s="284"/>
      <c r="G43" s="285"/>
      <c r="H43" s="286"/>
    </row>
    <row r="44" spans="3:8" ht="15" customHeight="1">
      <c r="F44" s="284"/>
      <c r="G44" s="285"/>
      <c r="H44" s="286"/>
    </row>
    <row r="45" spans="3:8" ht="15.75" thickBot="1">
      <c r="F45" s="287"/>
      <c r="G45" s="288"/>
      <c r="H45" s="289"/>
    </row>
    <row r="46" spans="3:8">
      <c r="G46" s="59"/>
      <c r="H46" s="59"/>
    </row>
    <row r="47" spans="3:8">
      <c r="F47" s="59"/>
      <c r="G47" s="59"/>
      <c r="H47" s="59"/>
    </row>
    <row r="48" spans="3:8">
      <c r="C48" s="59"/>
      <c r="D48" s="59"/>
      <c r="E48" s="59"/>
      <c r="F48" s="59"/>
    </row>
    <row r="49" spans="3:6">
      <c r="C49" s="59"/>
      <c r="D49" s="59"/>
      <c r="E49" s="59"/>
      <c r="F49" s="59"/>
    </row>
  </sheetData>
  <mergeCells count="4">
    <mergeCell ref="C2:G2"/>
    <mergeCell ref="C4:G4"/>
    <mergeCell ref="C6:E6"/>
    <mergeCell ref="F42:H45"/>
  </mergeCells>
  <phoneticPr fontId="19" type="noConversion"/>
  <pageMargins left="0.7" right="0.7" top="1.3149999999999999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9" tint="-0.499984740745262"/>
    <pageSetUpPr fitToPage="1"/>
  </sheetPr>
  <dimension ref="A1:L79"/>
  <sheetViews>
    <sheetView showGridLines="0" zoomScale="80" zoomScaleNormal="80" zoomScaleSheetLayoutView="55" workbookViewId="0">
      <selection activeCell="H50" sqref="H50"/>
    </sheetView>
  </sheetViews>
  <sheetFormatPr baseColWidth="10" defaultColWidth="11.42578125" defaultRowHeight="15"/>
  <cols>
    <col min="1" max="1" width="13.7109375" customWidth="1"/>
    <col min="2" max="2" width="15.42578125" customWidth="1"/>
    <col min="3" max="3" width="13.7109375" customWidth="1"/>
    <col min="4" max="4" width="16" customWidth="1"/>
    <col min="5" max="6" width="14.85546875" customWidth="1"/>
    <col min="7" max="8" width="18.7109375" customWidth="1"/>
    <col min="9" max="9" width="2.7109375" customWidth="1"/>
    <col min="10" max="10" width="11.85546875" bestFit="1" customWidth="1"/>
    <col min="12" max="12" width="11.85546875" customWidth="1"/>
    <col min="257" max="257" width="13.7109375" customWidth="1"/>
    <col min="258" max="258" width="15.42578125" customWidth="1"/>
    <col min="259" max="259" width="13.7109375" customWidth="1"/>
    <col min="260" max="260" width="13.85546875" customWidth="1"/>
    <col min="261" max="262" width="14.85546875" customWidth="1"/>
    <col min="263" max="264" width="18.7109375" customWidth="1"/>
    <col min="265" max="265" width="2.7109375" customWidth="1"/>
    <col min="266" max="266" width="11.85546875" bestFit="1" customWidth="1"/>
    <col min="268" max="268" width="11.85546875" customWidth="1"/>
    <col min="513" max="513" width="13.7109375" customWidth="1"/>
    <col min="514" max="514" width="15.42578125" customWidth="1"/>
    <col min="515" max="515" width="13.7109375" customWidth="1"/>
    <col min="516" max="516" width="13.85546875" customWidth="1"/>
    <col min="517" max="518" width="14.85546875" customWidth="1"/>
    <col min="519" max="520" width="18.7109375" customWidth="1"/>
    <col min="521" max="521" width="2.7109375" customWidth="1"/>
    <col min="522" max="522" width="11.85546875" bestFit="1" customWidth="1"/>
    <col min="524" max="524" width="11.85546875" customWidth="1"/>
    <col min="769" max="769" width="13.7109375" customWidth="1"/>
    <col min="770" max="770" width="15.42578125" customWidth="1"/>
    <col min="771" max="771" width="13.7109375" customWidth="1"/>
    <col min="772" max="772" width="13.85546875" customWidth="1"/>
    <col min="773" max="774" width="14.85546875" customWidth="1"/>
    <col min="775" max="776" width="18.7109375" customWidth="1"/>
    <col min="777" max="777" width="2.7109375" customWidth="1"/>
    <col min="778" max="778" width="11.85546875" bestFit="1" customWidth="1"/>
    <col min="780" max="780" width="11.85546875" customWidth="1"/>
    <col min="1025" max="1025" width="13.7109375" customWidth="1"/>
    <col min="1026" max="1026" width="15.42578125" customWidth="1"/>
    <col min="1027" max="1027" width="13.7109375" customWidth="1"/>
    <col min="1028" max="1028" width="13.85546875" customWidth="1"/>
    <col min="1029" max="1030" width="14.85546875" customWidth="1"/>
    <col min="1031" max="1032" width="18.7109375" customWidth="1"/>
    <col min="1033" max="1033" width="2.7109375" customWidth="1"/>
    <col min="1034" max="1034" width="11.85546875" bestFit="1" customWidth="1"/>
    <col min="1036" max="1036" width="11.85546875" customWidth="1"/>
    <col min="1281" max="1281" width="13.7109375" customWidth="1"/>
    <col min="1282" max="1282" width="15.42578125" customWidth="1"/>
    <col min="1283" max="1283" width="13.7109375" customWidth="1"/>
    <col min="1284" max="1284" width="13.85546875" customWidth="1"/>
    <col min="1285" max="1286" width="14.85546875" customWidth="1"/>
    <col min="1287" max="1288" width="18.7109375" customWidth="1"/>
    <col min="1289" max="1289" width="2.7109375" customWidth="1"/>
    <col min="1290" max="1290" width="11.85546875" bestFit="1" customWidth="1"/>
    <col min="1292" max="1292" width="11.85546875" customWidth="1"/>
    <col min="1537" max="1537" width="13.7109375" customWidth="1"/>
    <col min="1538" max="1538" width="15.42578125" customWidth="1"/>
    <col min="1539" max="1539" width="13.7109375" customWidth="1"/>
    <col min="1540" max="1540" width="13.85546875" customWidth="1"/>
    <col min="1541" max="1542" width="14.85546875" customWidth="1"/>
    <col min="1543" max="1544" width="18.7109375" customWidth="1"/>
    <col min="1545" max="1545" width="2.7109375" customWidth="1"/>
    <col min="1546" max="1546" width="11.85546875" bestFit="1" customWidth="1"/>
    <col min="1548" max="1548" width="11.85546875" customWidth="1"/>
    <col min="1793" max="1793" width="13.7109375" customWidth="1"/>
    <col min="1794" max="1794" width="15.42578125" customWidth="1"/>
    <col min="1795" max="1795" width="13.7109375" customWidth="1"/>
    <col min="1796" max="1796" width="13.85546875" customWidth="1"/>
    <col min="1797" max="1798" width="14.85546875" customWidth="1"/>
    <col min="1799" max="1800" width="18.7109375" customWidth="1"/>
    <col min="1801" max="1801" width="2.7109375" customWidth="1"/>
    <col min="1802" max="1802" width="11.85546875" bestFit="1" customWidth="1"/>
    <col min="1804" max="1804" width="11.85546875" customWidth="1"/>
    <col min="2049" max="2049" width="13.7109375" customWidth="1"/>
    <col min="2050" max="2050" width="15.42578125" customWidth="1"/>
    <col min="2051" max="2051" width="13.7109375" customWidth="1"/>
    <col min="2052" max="2052" width="13.85546875" customWidth="1"/>
    <col min="2053" max="2054" width="14.85546875" customWidth="1"/>
    <col min="2055" max="2056" width="18.7109375" customWidth="1"/>
    <col min="2057" max="2057" width="2.7109375" customWidth="1"/>
    <col min="2058" max="2058" width="11.85546875" bestFit="1" customWidth="1"/>
    <col min="2060" max="2060" width="11.85546875" customWidth="1"/>
    <col min="2305" max="2305" width="13.7109375" customWidth="1"/>
    <col min="2306" max="2306" width="15.42578125" customWidth="1"/>
    <col min="2307" max="2307" width="13.7109375" customWidth="1"/>
    <col min="2308" max="2308" width="13.85546875" customWidth="1"/>
    <col min="2309" max="2310" width="14.85546875" customWidth="1"/>
    <col min="2311" max="2312" width="18.7109375" customWidth="1"/>
    <col min="2313" max="2313" width="2.7109375" customWidth="1"/>
    <col min="2314" max="2314" width="11.85546875" bestFit="1" customWidth="1"/>
    <col min="2316" max="2316" width="11.85546875" customWidth="1"/>
    <col min="2561" max="2561" width="13.7109375" customWidth="1"/>
    <col min="2562" max="2562" width="15.42578125" customWidth="1"/>
    <col min="2563" max="2563" width="13.7109375" customWidth="1"/>
    <col min="2564" max="2564" width="13.85546875" customWidth="1"/>
    <col min="2565" max="2566" width="14.85546875" customWidth="1"/>
    <col min="2567" max="2568" width="18.7109375" customWidth="1"/>
    <col min="2569" max="2569" width="2.7109375" customWidth="1"/>
    <col min="2570" max="2570" width="11.85546875" bestFit="1" customWidth="1"/>
    <col min="2572" max="2572" width="11.85546875" customWidth="1"/>
    <col min="2817" max="2817" width="13.7109375" customWidth="1"/>
    <col min="2818" max="2818" width="15.42578125" customWidth="1"/>
    <col min="2819" max="2819" width="13.7109375" customWidth="1"/>
    <col min="2820" max="2820" width="13.85546875" customWidth="1"/>
    <col min="2821" max="2822" width="14.85546875" customWidth="1"/>
    <col min="2823" max="2824" width="18.7109375" customWidth="1"/>
    <col min="2825" max="2825" width="2.7109375" customWidth="1"/>
    <col min="2826" max="2826" width="11.85546875" bestFit="1" customWidth="1"/>
    <col min="2828" max="2828" width="11.85546875" customWidth="1"/>
    <col min="3073" max="3073" width="13.7109375" customWidth="1"/>
    <col min="3074" max="3074" width="15.42578125" customWidth="1"/>
    <col min="3075" max="3075" width="13.7109375" customWidth="1"/>
    <col min="3076" max="3076" width="13.85546875" customWidth="1"/>
    <col min="3077" max="3078" width="14.85546875" customWidth="1"/>
    <col min="3079" max="3080" width="18.7109375" customWidth="1"/>
    <col min="3081" max="3081" width="2.7109375" customWidth="1"/>
    <col min="3082" max="3082" width="11.85546875" bestFit="1" customWidth="1"/>
    <col min="3084" max="3084" width="11.85546875" customWidth="1"/>
    <col min="3329" max="3329" width="13.7109375" customWidth="1"/>
    <col min="3330" max="3330" width="15.42578125" customWidth="1"/>
    <col min="3331" max="3331" width="13.7109375" customWidth="1"/>
    <col min="3332" max="3332" width="13.85546875" customWidth="1"/>
    <col min="3333" max="3334" width="14.85546875" customWidth="1"/>
    <col min="3335" max="3336" width="18.7109375" customWidth="1"/>
    <col min="3337" max="3337" width="2.7109375" customWidth="1"/>
    <col min="3338" max="3338" width="11.85546875" bestFit="1" customWidth="1"/>
    <col min="3340" max="3340" width="11.85546875" customWidth="1"/>
    <col min="3585" max="3585" width="13.7109375" customWidth="1"/>
    <col min="3586" max="3586" width="15.42578125" customWidth="1"/>
    <col min="3587" max="3587" width="13.7109375" customWidth="1"/>
    <col min="3588" max="3588" width="13.85546875" customWidth="1"/>
    <col min="3589" max="3590" width="14.85546875" customWidth="1"/>
    <col min="3591" max="3592" width="18.7109375" customWidth="1"/>
    <col min="3593" max="3593" width="2.7109375" customWidth="1"/>
    <col min="3594" max="3594" width="11.85546875" bestFit="1" customWidth="1"/>
    <col min="3596" max="3596" width="11.85546875" customWidth="1"/>
    <col min="3841" max="3841" width="13.7109375" customWidth="1"/>
    <col min="3842" max="3842" width="15.42578125" customWidth="1"/>
    <col min="3843" max="3843" width="13.7109375" customWidth="1"/>
    <col min="3844" max="3844" width="13.85546875" customWidth="1"/>
    <col min="3845" max="3846" width="14.85546875" customWidth="1"/>
    <col min="3847" max="3848" width="18.7109375" customWidth="1"/>
    <col min="3849" max="3849" width="2.7109375" customWidth="1"/>
    <col min="3850" max="3850" width="11.85546875" bestFit="1" customWidth="1"/>
    <col min="3852" max="3852" width="11.85546875" customWidth="1"/>
    <col min="4097" max="4097" width="13.7109375" customWidth="1"/>
    <col min="4098" max="4098" width="15.42578125" customWidth="1"/>
    <col min="4099" max="4099" width="13.7109375" customWidth="1"/>
    <col min="4100" max="4100" width="13.85546875" customWidth="1"/>
    <col min="4101" max="4102" width="14.85546875" customWidth="1"/>
    <col min="4103" max="4104" width="18.7109375" customWidth="1"/>
    <col min="4105" max="4105" width="2.7109375" customWidth="1"/>
    <col min="4106" max="4106" width="11.85546875" bestFit="1" customWidth="1"/>
    <col min="4108" max="4108" width="11.85546875" customWidth="1"/>
    <col min="4353" max="4353" width="13.7109375" customWidth="1"/>
    <col min="4354" max="4354" width="15.42578125" customWidth="1"/>
    <col min="4355" max="4355" width="13.7109375" customWidth="1"/>
    <col min="4356" max="4356" width="13.85546875" customWidth="1"/>
    <col min="4357" max="4358" width="14.85546875" customWidth="1"/>
    <col min="4359" max="4360" width="18.7109375" customWidth="1"/>
    <col min="4361" max="4361" width="2.7109375" customWidth="1"/>
    <col min="4362" max="4362" width="11.85546875" bestFit="1" customWidth="1"/>
    <col min="4364" max="4364" width="11.85546875" customWidth="1"/>
    <col min="4609" max="4609" width="13.7109375" customWidth="1"/>
    <col min="4610" max="4610" width="15.42578125" customWidth="1"/>
    <col min="4611" max="4611" width="13.7109375" customWidth="1"/>
    <col min="4612" max="4612" width="13.85546875" customWidth="1"/>
    <col min="4613" max="4614" width="14.85546875" customWidth="1"/>
    <col min="4615" max="4616" width="18.7109375" customWidth="1"/>
    <col min="4617" max="4617" width="2.7109375" customWidth="1"/>
    <col min="4618" max="4618" width="11.85546875" bestFit="1" customWidth="1"/>
    <col min="4620" max="4620" width="11.85546875" customWidth="1"/>
    <col min="4865" max="4865" width="13.7109375" customWidth="1"/>
    <col min="4866" max="4866" width="15.42578125" customWidth="1"/>
    <col min="4867" max="4867" width="13.7109375" customWidth="1"/>
    <col min="4868" max="4868" width="13.85546875" customWidth="1"/>
    <col min="4869" max="4870" width="14.85546875" customWidth="1"/>
    <col min="4871" max="4872" width="18.7109375" customWidth="1"/>
    <col min="4873" max="4873" width="2.7109375" customWidth="1"/>
    <col min="4874" max="4874" width="11.85546875" bestFit="1" customWidth="1"/>
    <col min="4876" max="4876" width="11.85546875" customWidth="1"/>
    <col min="5121" max="5121" width="13.7109375" customWidth="1"/>
    <col min="5122" max="5122" width="15.42578125" customWidth="1"/>
    <col min="5123" max="5123" width="13.7109375" customWidth="1"/>
    <col min="5124" max="5124" width="13.85546875" customWidth="1"/>
    <col min="5125" max="5126" width="14.85546875" customWidth="1"/>
    <col min="5127" max="5128" width="18.7109375" customWidth="1"/>
    <col min="5129" max="5129" width="2.7109375" customWidth="1"/>
    <col min="5130" max="5130" width="11.85546875" bestFit="1" customWidth="1"/>
    <col min="5132" max="5132" width="11.85546875" customWidth="1"/>
    <col min="5377" max="5377" width="13.7109375" customWidth="1"/>
    <col min="5378" max="5378" width="15.42578125" customWidth="1"/>
    <col min="5379" max="5379" width="13.7109375" customWidth="1"/>
    <col min="5380" max="5380" width="13.85546875" customWidth="1"/>
    <col min="5381" max="5382" width="14.85546875" customWidth="1"/>
    <col min="5383" max="5384" width="18.7109375" customWidth="1"/>
    <col min="5385" max="5385" width="2.7109375" customWidth="1"/>
    <col min="5386" max="5386" width="11.85546875" bestFit="1" customWidth="1"/>
    <col min="5388" max="5388" width="11.85546875" customWidth="1"/>
    <col min="5633" max="5633" width="13.7109375" customWidth="1"/>
    <col min="5634" max="5634" width="15.42578125" customWidth="1"/>
    <col min="5635" max="5635" width="13.7109375" customWidth="1"/>
    <col min="5636" max="5636" width="13.85546875" customWidth="1"/>
    <col min="5637" max="5638" width="14.85546875" customWidth="1"/>
    <col min="5639" max="5640" width="18.7109375" customWidth="1"/>
    <col min="5641" max="5641" width="2.7109375" customWidth="1"/>
    <col min="5642" max="5642" width="11.85546875" bestFit="1" customWidth="1"/>
    <col min="5644" max="5644" width="11.85546875" customWidth="1"/>
    <col min="5889" max="5889" width="13.7109375" customWidth="1"/>
    <col min="5890" max="5890" width="15.42578125" customWidth="1"/>
    <col min="5891" max="5891" width="13.7109375" customWidth="1"/>
    <col min="5892" max="5892" width="13.85546875" customWidth="1"/>
    <col min="5893" max="5894" width="14.85546875" customWidth="1"/>
    <col min="5895" max="5896" width="18.7109375" customWidth="1"/>
    <col min="5897" max="5897" width="2.7109375" customWidth="1"/>
    <col min="5898" max="5898" width="11.85546875" bestFit="1" customWidth="1"/>
    <col min="5900" max="5900" width="11.85546875" customWidth="1"/>
    <col min="6145" max="6145" width="13.7109375" customWidth="1"/>
    <col min="6146" max="6146" width="15.42578125" customWidth="1"/>
    <col min="6147" max="6147" width="13.7109375" customWidth="1"/>
    <col min="6148" max="6148" width="13.85546875" customWidth="1"/>
    <col min="6149" max="6150" width="14.85546875" customWidth="1"/>
    <col min="6151" max="6152" width="18.7109375" customWidth="1"/>
    <col min="6153" max="6153" width="2.7109375" customWidth="1"/>
    <col min="6154" max="6154" width="11.85546875" bestFit="1" customWidth="1"/>
    <col min="6156" max="6156" width="11.85546875" customWidth="1"/>
    <col min="6401" max="6401" width="13.7109375" customWidth="1"/>
    <col min="6402" max="6402" width="15.42578125" customWidth="1"/>
    <col min="6403" max="6403" width="13.7109375" customWidth="1"/>
    <col min="6404" max="6404" width="13.85546875" customWidth="1"/>
    <col min="6405" max="6406" width="14.85546875" customWidth="1"/>
    <col min="6407" max="6408" width="18.7109375" customWidth="1"/>
    <col min="6409" max="6409" width="2.7109375" customWidth="1"/>
    <col min="6410" max="6410" width="11.85546875" bestFit="1" customWidth="1"/>
    <col min="6412" max="6412" width="11.85546875" customWidth="1"/>
    <col min="6657" max="6657" width="13.7109375" customWidth="1"/>
    <col min="6658" max="6658" width="15.42578125" customWidth="1"/>
    <col min="6659" max="6659" width="13.7109375" customWidth="1"/>
    <col min="6660" max="6660" width="13.85546875" customWidth="1"/>
    <col min="6661" max="6662" width="14.85546875" customWidth="1"/>
    <col min="6663" max="6664" width="18.7109375" customWidth="1"/>
    <col min="6665" max="6665" width="2.7109375" customWidth="1"/>
    <col min="6666" max="6666" width="11.85546875" bestFit="1" customWidth="1"/>
    <col min="6668" max="6668" width="11.85546875" customWidth="1"/>
    <col min="6913" max="6913" width="13.7109375" customWidth="1"/>
    <col min="6914" max="6914" width="15.42578125" customWidth="1"/>
    <col min="6915" max="6915" width="13.7109375" customWidth="1"/>
    <col min="6916" max="6916" width="13.85546875" customWidth="1"/>
    <col min="6917" max="6918" width="14.85546875" customWidth="1"/>
    <col min="6919" max="6920" width="18.7109375" customWidth="1"/>
    <col min="6921" max="6921" width="2.7109375" customWidth="1"/>
    <col min="6922" max="6922" width="11.85546875" bestFit="1" customWidth="1"/>
    <col min="6924" max="6924" width="11.85546875" customWidth="1"/>
    <col min="7169" max="7169" width="13.7109375" customWidth="1"/>
    <col min="7170" max="7170" width="15.42578125" customWidth="1"/>
    <col min="7171" max="7171" width="13.7109375" customWidth="1"/>
    <col min="7172" max="7172" width="13.85546875" customWidth="1"/>
    <col min="7173" max="7174" width="14.85546875" customWidth="1"/>
    <col min="7175" max="7176" width="18.7109375" customWidth="1"/>
    <col min="7177" max="7177" width="2.7109375" customWidth="1"/>
    <col min="7178" max="7178" width="11.85546875" bestFit="1" customWidth="1"/>
    <col min="7180" max="7180" width="11.85546875" customWidth="1"/>
    <col min="7425" max="7425" width="13.7109375" customWidth="1"/>
    <col min="7426" max="7426" width="15.42578125" customWidth="1"/>
    <col min="7427" max="7427" width="13.7109375" customWidth="1"/>
    <col min="7428" max="7428" width="13.85546875" customWidth="1"/>
    <col min="7429" max="7430" width="14.85546875" customWidth="1"/>
    <col min="7431" max="7432" width="18.7109375" customWidth="1"/>
    <col min="7433" max="7433" width="2.7109375" customWidth="1"/>
    <col min="7434" max="7434" width="11.85546875" bestFit="1" customWidth="1"/>
    <col min="7436" max="7436" width="11.85546875" customWidth="1"/>
    <col min="7681" max="7681" width="13.7109375" customWidth="1"/>
    <col min="7682" max="7682" width="15.42578125" customWidth="1"/>
    <col min="7683" max="7683" width="13.7109375" customWidth="1"/>
    <col min="7684" max="7684" width="13.85546875" customWidth="1"/>
    <col min="7685" max="7686" width="14.85546875" customWidth="1"/>
    <col min="7687" max="7688" width="18.7109375" customWidth="1"/>
    <col min="7689" max="7689" width="2.7109375" customWidth="1"/>
    <col min="7690" max="7690" width="11.85546875" bestFit="1" customWidth="1"/>
    <col min="7692" max="7692" width="11.85546875" customWidth="1"/>
    <col min="7937" max="7937" width="13.7109375" customWidth="1"/>
    <col min="7938" max="7938" width="15.42578125" customWidth="1"/>
    <col min="7939" max="7939" width="13.7109375" customWidth="1"/>
    <col min="7940" max="7940" width="13.85546875" customWidth="1"/>
    <col min="7941" max="7942" width="14.85546875" customWidth="1"/>
    <col min="7943" max="7944" width="18.7109375" customWidth="1"/>
    <col min="7945" max="7945" width="2.7109375" customWidth="1"/>
    <col min="7946" max="7946" width="11.85546875" bestFit="1" customWidth="1"/>
    <col min="7948" max="7948" width="11.85546875" customWidth="1"/>
    <col min="8193" max="8193" width="13.7109375" customWidth="1"/>
    <col min="8194" max="8194" width="15.42578125" customWidth="1"/>
    <col min="8195" max="8195" width="13.7109375" customWidth="1"/>
    <col min="8196" max="8196" width="13.85546875" customWidth="1"/>
    <col min="8197" max="8198" width="14.85546875" customWidth="1"/>
    <col min="8199" max="8200" width="18.7109375" customWidth="1"/>
    <col min="8201" max="8201" width="2.7109375" customWidth="1"/>
    <col min="8202" max="8202" width="11.85546875" bestFit="1" customWidth="1"/>
    <col min="8204" max="8204" width="11.85546875" customWidth="1"/>
    <col min="8449" max="8449" width="13.7109375" customWidth="1"/>
    <col min="8450" max="8450" width="15.42578125" customWidth="1"/>
    <col min="8451" max="8451" width="13.7109375" customWidth="1"/>
    <col min="8452" max="8452" width="13.85546875" customWidth="1"/>
    <col min="8453" max="8454" width="14.85546875" customWidth="1"/>
    <col min="8455" max="8456" width="18.7109375" customWidth="1"/>
    <col min="8457" max="8457" width="2.7109375" customWidth="1"/>
    <col min="8458" max="8458" width="11.85546875" bestFit="1" customWidth="1"/>
    <col min="8460" max="8460" width="11.85546875" customWidth="1"/>
    <col min="8705" max="8705" width="13.7109375" customWidth="1"/>
    <col min="8706" max="8706" width="15.42578125" customWidth="1"/>
    <col min="8707" max="8707" width="13.7109375" customWidth="1"/>
    <col min="8708" max="8708" width="13.85546875" customWidth="1"/>
    <col min="8709" max="8710" width="14.85546875" customWidth="1"/>
    <col min="8711" max="8712" width="18.7109375" customWidth="1"/>
    <col min="8713" max="8713" width="2.7109375" customWidth="1"/>
    <col min="8714" max="8714" width="11.85546875" bestFit="1" customWidth="1"/>
    <col min="8716" max="8716" width="11.85546875" customWidth="1"/>
    <col min="8961" max="8961" width="13.7109375" customWidth="1"/>
    <col min="8962" max="8962" width="15.42578125" customWidth="1"/>
    <col min="8963" max="8963" width="13.7109375" customWidth="1"/>
    <col min="8964" max="8964" width="13.85546875" customWidth="1"/>
    <col min="8965" max="8966" width="14.85546875" customWidth="1"/>
    <col min="8967" max="8968" width="18.7109375" customWidth="1"/>
    <col min="8969" max="8969" width="2.7109375" customWidth="1"/>
    <col min="8970" max="8970" width="11.85546875" bestFit="1" customWidth="1"/>
    <col min="8972" max="8972" width="11.85546875" customWidth="1"/>
    <col min="9217" max="9217" width="13.7109375" customWidth="1"/>
    <col min="9218" max="9218" width="15.42578125" customWidth="1"/>
    <col min="9219" max="9219" width="13.7109375" customWidth="1"/>
    <col min="9220" max="9220" width="13.85546875" customWidth="1"/>
    <col min="9221" max="9222" width="14.85546875" customWidth="1"/>
    <col min="9223" max="9224" width="18.7109375" customWidth="1"/>
    <col min="9225" max="9225" width="2.7109375" customWidth="1"/>
    <col min="9226" max="9226" width="11.85546875" bestFit="1" customWidth="1"/>
    <col min="9228" max="9228" width="11.85546875" customWidth="1"/>
    <col min="9473" max="9473" width="13.7109375" customWidth="1"/>
    <col min="9474" max="9474" width="15.42578125" customWidth="1"/>
    <col min="9475" max="9475" width="13.7109375" customWidth="1"/>
    <col min="9476" max="9476" width="13.85546875" customWidth="1"/>
    <col min="9477" max="9478" width="14.85546875" customWidth="1"/>
    <col min="9479" max="9480" width="18.7109375" customWidth="1"/>
    <col min="9481" max="9481" width="2.7109375" customWidth="1"/>
    <col min="9482" max="9482" width="11.85546875" bestFit="1" customWidth="1"/>
    <col min="9484" max="9484" width="11.85546875" customWidth="1"/>
    <col min="9729" max="9729" width="13.7109375" customWidth="1"/>
    <col min="9730" max="9730" width="15.42578125" customWidth="1"/>
    <col min="9731" max="9731" width="13.7109375" customWidth="1"/>
    <col min="9732" max="9732" width="13.85546875" customWidth="1"/>
    <col min="9733" max="9734" width="14.85546875" customWidth="1"/>
    <col min="9735" max="9736" width="18.7109375" customWidth="1"/>
    <col min="9737" max="9737" width="2.7109375" customWidth="1"/>
    <col min="9738" max="9738" width="11.85546875" bestFit="1" customWidth="1"/>
    <col min="9740" max="9740" width="11.85546875" customWidth="1"/>
    <col min="9985" max="9985" width="13.7109375" customWidth="1"/>
    <col min="9986" max="9986" width="15.42578125" customWidth="1"/>
    <col min="9987" max="9987" width="13.7109375" customWidth="1"/>
    <col min="9988" max="9988" width="13.85546875" customWidth="1"/>
    <col min="9989" max="9990" width="14.85546875" customWidth="1"/>
    <col min="9991" max="9992" width="18.7109375" customWidth="1"/>
    <col min="9993" max="9993" width="2.7109375" customWidth="1"/>
    <col min="9994" max="9994" width="11.85546875" bestFit="1" customWidth="1"/>
    <col min="9996" max="9996" width="11.85546875" customWidth="1"/>
    <col min="10241" max="10241" width="13.7109375" customWidth="1"/>
    <col min="10242" max="10242" width="15.42578125" customWidth="1"/>
    <col min="10243" max="10243" width="13.7109375" customWidth="1"/>
    <col min="10244" max="10244" width="13.85546875" customWidth="1"/>
    <col min="10245" max="10246" width="14.85546875" customWidth="1"/>
    <col min="10247" max="10248" width="18.7109375" customWidth="1"/>
    <col min="10249" max="10249" width="2.7109375" customWidth="1"/>
    <col min="10250" max="10250" width="11.85546875" bestFit="1" customWidth="1"/>
    <col min="10252" max="10252" width="11.85546875" customWidth="1"/>
    <col min="10497" max="10497" width="13.7109375" customWidth="1"/>
    <col min="10498" max="10498" width="15.42578125" customWidth="1"/>
    <col min="10499" max="10499" width="13.7109375" customWidth="1"/>
    <col min="10500" max="10500" width="13.85546875" customWidth="1"/>
    <col min="10501" max="10502" width="14.85546875" customWidth="1"/>
    <col min="10503" max="10504" width="18.7109375" customWidth="1"/>
    <col min="10505" max="10505" width="2.7109375" customWidth="1"/>
    <col min="10506" max="10506" width="11.85546875" bestFit="1" customWidth="1"/>
    <col min="10508" max="10508" width="11.85546875" customWidth="1"/>
    <col min="10753" max="10753" width="13.7109375" customWidth="1"/>
    <col min="10754" max="10754" width="15.42578125" customWidth="1"/>
    <col min="10755" max="10755" width="13.7109375" customWidth="1"/>
    <col min="10756" max="10756" width="13.85546875" customWidth="1"/>
    <col min="10757" max="10758" width="14.85546875" customWidth="1"/>
    <col min="10759" max="10760" width="18.7109375" customWidth="1"/>
    <col min="10761" max="10761" width="2.7109375" customWidth="1"/>
    <col min="10762" max="10762" width="11.85546875" bestFit="1" customWidth="1"/>
    <col min="10764" max="10764" width="11.85546875" customWidth="1"/>
    <col min="11009" max="11009" width="13.7109375" customWidth="1"/>
    <col min="11010" max="11010" width="15.42578125" customWidth="1"/>
    <col min="11011" max="11011" width="13.7109375" customWidth="1"/>
    <col min="11012" max="11012" width="13.85546875" customWidth="1"/>
    <col min="11013" max="11014" width="14.85546875" customWidth="1"/>
    <col min="11015" max="11016" width="18.7109375" customWidth="1"/>
    <col min="11017" max="11017" width="2.7109375" customWidth="1"/>
    <col min="11018" max="11018" width="11.85546875" bestFit="1" customWidth="1"/>
    <col min="11020" max="11020" width="11.85546875" customWidth="1"/>
    <col min="11265" max="11265" width="13.7109375" customWidth="1"/>
    <col min="11266" max="11266" width="15.42578125" customWidth="1"/>
    <col min="11267" max="11267" width="13.7109375" customWidth="1"/>
    <col min="11268" max="11268" width="13.85546875" customWidth="1"/>
    <col min="11269" max="11270" width="14.85546875" customWidth="1"/>
    <col min="11271" max="11272" width="18.7109375" customWidth="1"/>
    <col min="11273" max="11273" width="2.7109375" customWidth="1"/>
    <col min="11274" max="11274" width="11.85546875" bestFit="1" customWidth="1"/>
    <col min="11276" max="11276" width="11.85546875" customWidth="1"/>
    <col min="11521" max="11521" width="13.7109375" customWidth="1"/>
    <col min="11522" max="11522" width="15.42578125" customWidth="1"/>
    <col min="11523" max="11523" width="13.7109375" customWidth="1"/>
    <col min="11524" max="11524" width="13.85546875" customWidth="1"/>
    <col min="11525" max="11526" width="14.85546875" customWidth="1"/>
    <col min="11527" max="11528" width="18.7109375" customWidth="1"/>
    <col min="11529" max="11529" width="2.7109375" customWidth="1"/>
    <col min="11530" max="11530" width="11.85546875" bestFit="1" customWidth="1"/>
    <col min="11532" max="11532" width="11.85546875" customWidth="1"/>
    <col min="11777" max="11777" width="13.7109375" customWidth="1"/>
    <col min="11778" max="11778" width="15.42578125" customWidth="1"/>
    <col min="11779" max="11779" width="13.7109375" customWidth="1"/>
    <col min="11780" max="11780" width="13.85546875" customWidth="1"/>
    <col min="11781" max="11782" width="14.85546875" customWidth="1"/>
    <col min="11783" max="11784" width="18.7109375" customWidth="1"/>
    <col min="11785" max="11785" width="2.7109375" customWidth="1"/>
    <col min="11786" max="11786" width="11.85546875" bestFit="1" customWidth="1"/>
    <col min="11788" max="11788" width="11.85546875" customWidth="1"/>
    <col min="12033" max="12033" width="13.7109375" customWidth="1"/>
    <col min="12034" max="12034" width="15.42578125" customWidth="1"/>
    <col min="12035" max="12035" width="13.7109375" customWidth="1"/>
    <col min="12036" max="12036" width="13.85546875" customWidth="1"/>
    <col min="12037" max="12038" width="14.85546875" customWidth="1"/>
    <col min="12039" max="12040" width="18.7109375" customWidth="1"/>
    <col min="12041" max="12041" width="2.7109375" customWidth="1"/>
    <col min="12042" max="12042" width="11.85546875" bestFit="1" customWidth="1"/>
    <col min="12044" max="12044" width="11.85546875" customWidth="1"/>
    <col min="12289" max="12289" width="13.7109375" customWidth="1"/>
    <col min="12290" max="12290" width="15.42578125" customWidth="1"/>
    <col min="12291" max="12291" width="13.7109375" customWidth="1"/>
    <col min="12292" max="12292" width="13.85546875" customWidth="1"/>
    <col min="12293" max="12294" width="14.85546875" customWidth="1"/>
    <col min="12295" max="12296" width="18.7109375" customWidth="1"/>
    <col min="12297" max="12297" width="2.7109375" customWidth="1"/>
    <col min="12298" max="12298" width="11.85546875" bestFit="1" customWidth="1"/>
    <col min="12300" max="12300" width="11.85546875" customWidth="1"/>
    <col min="12545" max="12545" width="13.7109375" customWidth="1"/>
    <col min="12546" max="12546" width="15.42578125" customWidth="1"/>
    <col min="12547" max="12547" width="13.7109375" customWidth="1"/>
    <col min="12548" max="12548" width="13.85546875" customWidth="1"/>
    <col min="12549" max="12550" width="14.85546875" customWidth="1"/>
    <col min="12551" max="12552" width="18.7109375" customWidth="1"/>
    <col min="12553" max="12553" width="2.7109375" customWidth="1"/>
    <col min="12554" max="12554" width="11.85546875" bestFit="1" customWidth="1"/>
    <col min="12556" max="12556" width="11.85546875" customWidth="1"/>
    <col min="12801" max="12801" width="13.7109375" customWidth="1"/>
    <col min="12802" max="12802" width="15.42578125" customWidth="1"/>
    <col min="12803" max="12803" width="13.7109375" customWidth="1"/>
    <col min="12804" max="12804" width="13.85546875" customWidth="1"/>
    <col min="12805" max="12806" width="14.85546875" customWidth="1"/>
    <col min="12807" max="12808" width="18.7109375" customWidth="1"/>
    <col min="12809" max="12809" width="2.7109375" customWidth="1"/>
    <col min="12810" max="12810" width="11.85546875" bestFit="1" customWidth="1"/>
    <col min="12812" max="12812" width="11.85546875" customWidth="1"/>
    <col min="13057" max="13057" width="13.7109375" customWidth="1"/>
    <col min="13058" max="13058" width="15.42578125" customWidth="1"/>
    <col min="13059" max="13059" width="13.7109375" customWidth="1"/>
    <col min="13060" max="13060" width="13.85546875" customWidth="1"/>
    <col min="13061" max="13062" width="14.85546875" customWidth="1"/>
    <col min="13063" max="13064" width="18.7109375" customWidth="1"/>
    <col min="13065" max="13065" width="2.7109375" customWidth="1"/>
    <col min="13066" max="13066" width="11.85546875" bestFit="1" customWidth="1"/>
    <col min="13068" max="13068" width="11.85546875" customWidth="1"/>
    <col min="13313" max="13313" width="13.7109375" customWidth="1"/>
    <col min="13314" max="13314" width="15.42578125" customWidth="1"/>
    <col min="13315" max="13315" width="13.7109375" customWidth="1"/>
    <col min="13316" max="13316" width="13.85546875" customWidth="1"/>
    <col min="13317" max="13318" width="14.85546875" customWidth="1"/>
    <col min="13319" max="13320" width="18.7109375" customWidth="1"/>
    <col min="13321" max="13321" width="2.7109375" customWidth="1"/>
    <col min="13322" max="13322" width="11.85546875" bestFit="1" customWidth="1"/>
    <col min="13324" max="13324" width="11.85546875" customWidth="1"/>
    <col min="13569" max="13569" width="13.7109375" customWidth="1"/>
    <col min="13570" max="13570" width="15.42578125" customWidth="1"/>
    <col min="13571" max="13571" width="13.7109375" customWidth="1"/>
    <col min="13572" max="13572" width="13.85546875" customWidth="1"/>
    <col min="13573" max="13574" width="14.85546875" customWidth="1"/>
    <col min="13575" max="13576" width="18.7109375" customWidth="1"/>
    <col min="13577" max="13577" width="2.7109375" customWidth="1"/>
    <col min="13578" max="13578" width="11.85546875" bestFit="1" customWidth="1"/>
    <col min="13580" max="13580" width="11.85546875" customWidth="1"/>
    <col min="13825" max="13825" width="13.7109375" customWidth="1"/>
    <col min="13826" max="13826" width="15.42578125" customWidth="1"/>
    <col min="13827" max="13827" width="13.7109375" customWidth="1"/>
    <col min="13828" max="13828" width="13.85546875" customWidth="1"/>
    <col min="13829" max="13830" width="14.85546875" customWidth="1"/>
    <col min="13831" max="13832" width="18.7109375" customWidth="1"/>
    <col min="13833" max="13833" width="2.7109375" customWidth="1"/>
    <col min="13834" max="13834" width="11.85546875" bestFit="1" customWidth="1"/>
    <col min="13836" max="13836" width="11.85546875" customWidth="1"/>
    <col min="14081" max="14081" width="13.7109375" customWidth="1"/>
    <col min="14082" max="14082" width="15.42578125" customWidth="1"/>
    <col min="14083" max="14083" width="13.7109375" customWidth="1"/>
    <col min="14084" max="14084" width="13.85546875" customWidth="1"/>
    <col min="14085" max="14086" width="14.85546875" customWidth="1"/>
    <col min="14087" max="14088" width="18.7109375" customWidth="1"/>
    <col min="14089" max="14089" width="2.7109375" customWidth="1"/>
    <col min="14090" max="14090" width="11.85546875" bestFit="1" customWidth="1"/>
    <col min="14092" max="14092" width="11.85546875" customWidth="1"/>
    <col min="14337" max="14337" width="13.7109375" customWidth="1"/>
    <col min="14338" max="14338" width="15.42578125" customWidth="1"/>
    <col min="14339" max="14339" width="13.7109375" customWidth="1"/>
    <col min="14340" max="14340" width="13.85546875" customWidth="1"/>
    <col min="14341" max="14342" width="14.85546875" customWidth="1"/>
    <col min="14343" max="14344" width="18.7109375" customWidth="1"/>
    <col min="14345" max="14345" width="2.7109375" customWidth="1"/>
    <col min="14346" max="14346" width="11.85546875" bestFit="1" customWidth="1"/>
    <col min="14348" max="14348" width="11.85546875" customWidth="1"/>
    <col min="14593" max="14593" width="13.7109375" customWidth="1"/>
    <col min="14594" max="14594" width="15.42578125" customWidth="1"/>
    <col min="14595" max="14595" width="13.7109375" customWidth="1"/>
    <col min="14596" max="14596" width="13.85546875" customWidth="1"/>
    <col min="14597" max="14598" width="14.85546875" customWidth="1"/>
    <col min="14599" max="14600" width="18.7109375" customWidth="1"/>
    <col min="14601" max="14601" width="2.7109375" customWidth="1"/>
    <col min="14602" max="14602" width="11.85546875" bestFit="1" customWidth="1"/>
    <col min="14604" max="14604" width="11.85546875" customWidth="1"/>
    <col min="14849" max="14849" width="13.7109375" customWidth="1"/>
    <col min="14850" max="14850" width="15.42578125" customWidth="1"/>
    <col min="14851" max="14851" width="13.7109375" customWidth="1"/>
    <col min="14852" max="14852" width="13.85546875" customWidth="1"/>
    <col min="14853" max="14854" width="14.85546875" customWidth="1"/>
    <col min="14855" max="14856" width="18.7109375" customWidth="1"/>
    <col min="14857" max="14857" width="2.7109375" customWidth="1"/>
    <col min="14858" max="14858" width="11.85546875" bestFit="1" customWidth="1"/>
    <col min="14860" max="14860" width="11.85546875" customWidth="1"/>
    <col min="15105" max="15105" width="13.7109375" customWidth="1"/>
    <col min="15106" max="15106" width="15.42578125" customWidth="1"/>
    <col min="15107" max="15107" width="13.7109375" customWidth="1"/>
    <col min="15108" max="15108" width="13.85546875" customWidth="1"/>
    <col min="15109" max="15110" width="14.85546875" customWidth="1"/>
    <col min="15111" max="15112" width="18.7109375" customWidth="1"/>
    <col min="15113" max="15113" width="2.7109375" customWidth="1"/>
    <col min="15114" max="15114" width="11.85546875" bestFit="1" customWidth="1"/>
    <col min="15116" max="15116" width="11.85546875" customWidth="1"/>
    <col min="15361" max="15361" width="13.7109375" customWidth="1"/>
    <col min="15362" max="15362" width="15.42578125" customWidth="1"/>
    <col min="15363" max="15363" width="13.7109375" customWidth="1"/>
    <col min="15364" max="15364" width="13.85546875" customWidth="1"/>
    <col min="15365" max="15366" width="14.85546875" customWidth="1"/>
    <col min="15367" max="15368" width="18.7109375" customWidth="1"/>
    <col min="15369" max="15369" width="2.7109375" customWidth="1"/>
    <col min="15370" max="15370" width="11.85546875" bestFit="1" customWidth="1"/>
    <col min="15372" max="15372" width="11.85546875" customWidth="1"/>
    <col min="15617" max="15617" width="13.7109375" customWidth="1"/>
    <col min="15618" max="15618" width="15.42578125" customWidth="1"/>
    <col min="15619" max="15619" width="13.7109375" customWidth="1"/>
    <col min="15620" max="15620" width="13.85546875" customWidth="1"/>
    <col min="15621" max="15622" width="14.85546875" customWidth="1"/>
    <col min="15623" max="15624" width="18.7109375" customWidth="1"/>
    <col min="15625" max="15625" width="2.7109375" customWidth="1"/>
    <col min="15626" max="15626" width="11.85546875" bestFit="1" customWidth="1"/>
    <col min="15628" max="15628" width="11.85546875" customWidth="1"/>
    <col min="15873" max="15873" width="13.7109375" customWidth="1"/>
    <col min="15874" max="15874" width="15.42578125" customWidth="1"/>
    <col min="15875" max="15875" width="13.7109375" customWidth="1"/>
    <col min="15876" max="15876" width="13.85546875" customWidth="1"/>
    <col min="15877" max="15878" width="14.85546875" customWidth="1"/>
    <col min="15879" max="15880" width="18.7109375" customWidth="1"/>
    <col min="15881" max="15881" width="2.7109375" customWidth="1"/>
    <col min="15882" max="15882" width="11.85546875" bestFit="1" customWidth="1"/>
    <col min="15884" max="15884" width="11.85546875" customWidth="1"/>
    <col min="16129" max="16129" width="13.7109375" customWidth="1"/>
    <col min="16130" max="16130" width="15.42578125" customWidth="1"/>
    <col min="16131" max="16131" width="13.7109375" customWidth="1"/>
    <col min="16132" max="16132" width="13.85546875" customWidth="1"/>
    <col min="16133" max="16134" width="14.85546875" customWidth="1"/>
    <col min="16135" max="16136" width="18.7109375" customWidth="1"/>
    <col min="16137" max="16137" width="2.7109375" customWidth="1"/>
    <col min="16138" max="16138" width="11.85546875" bestFit="1" customWidth="1"/>
    <col min="16140" max="16140" width="11.85546875" customWidth="1"/>
  </cols>
  <sheetData>
    <row r="1" spans="1:8">
      <c r="A1" s="1"/>
      <c r="B1" s="1"/>
      <c r="C1" s="1"/>
      <c r="D1" s="1"/>
      <c r="E1" s="1"/>
      <c r="F1" s="1"/>
    </row>
    <row r="2" spans="1:8" ht="15.75" customHeight="1">
      <c r="A2" s="1"/>
      <c r="B2" s="1"/>
      <c r="C2" s="290" t="s">
        <v>102</v>
      </c>
      <c r="D2" s="290"/>
      <c r="E2" s="291">
        <f>+'Café Fruta(1)'!D5</f>
        <v>0</v>
      </c>
      <c r="F2" s="291"/>
      <c r="G2" s="291"/>
    </row>
    <row r="3" spans="1:8" ht="12.75" customHeight="1">
      <c r="A3" s="1"/>
      <c r="B3" s="1"/>
      <c r="C3" s="290"/>
      <c r="D3" s="290"/>
      <c r="E3" s="291"/>
      <c r="F3" s="291"/>
      <c r="G3" s="291"/>
    </row>
    <row r="4" spans="1:8" ht="12.75" customHeight="1">
      <c r="A4" s="1"/>
      <c r="B4" s="1"/>
      <c r="C4" s="1"/>
      <c r="D4" s="1"/>
      <c r="E4" s="1"/>
      <c r="F4" s="1"/>
    </row>
    <row r="5" spans="1:8">
      <c r="C5" s="1"/>
      <c r="D5" s="1"/>
      <c r="E5" s="1"/>
      <c r="F5" s="1"/>
    </row>
    <row r="6" spans="1:8">
      <c r="C6" s="1"/>
      <c r="D6" s="1"/>
      <c r="E6" s="1"/>
      <c r="F6" s="1"/>
    </row>
    <row r="7" spans="1:8" ht="18">
      <c r="A7" s="5" t="s">
        <v>103</v>
      </c>
      <c r="B7" s="1"/>
      <c r="C7" s="1"/>
      <c r="D7" s="1"/>
      <c r="E7" s="1"/>
      <c r="F7" s="1"/>
    </row>
    <row r="8" spans="1:8" ht="15.75">
      <c r="A8" s="52" t="s">
        <v>104</v>
      </c>
      <c r="B8" s="52" t="str">
        <f>+'Café Fruta(1)'!G3</f>
        <v>2022-2023</v>
      </c>
      <c r="C8" s="1"/>
      <c r="D8" s="1"/>
      <c r="E8" s="1"/>
      <c r="F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 ht="15.75">
      <c r="A10" s="4" t="s">
        <v>61</v>
      </c>
      <c r="B10" s="292">
        <f>+'Café Fruta(1)'!F4</f>
        <v>0</v>
      </c>
      <c r="C10" s="292"/>
      <c r="D10" s="292"/>
      <c r="E10" s="6" t="s">
        <v>105</v>
      </c>
      <c r="F10" s="225">
        <f>+'Café Fruta(1)'!L4</f>
        <v>0</v>
      </c>
      <c r="G10" s="204" t="s">
        <v>106</v>
      </c>
      <c r="H10" s="208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293" t="s">
        <v>107</v>
      </c>
      <c r="B13" s="294"/>
      <c r="C13" s="297" t="s">
        <v>18</v>
      </c>
      <c r="D13" s="298"/>
      <c r="E13" s="297" t="s">
        <v>19</v>
      </c>
      <c r="F13" s="298"/>
      <c r="G13" s="297" t="s">
        <v>20</v>
      </c>
      <c r="H13" s="298"/>
    </row>
    <row r="14" spans="1:8">
      <c r="A14" s="295"/>
      <c r="B14" s="296"/>
      <c r="C14" s="299"/>
      <c r="D14" s="300"/>
      <c r="E14" s="299"/>
      <c r="F14" s="300"/>
      <c r="G14" s="299"/>
      <c r="H14" s="300"/>
    </row>
    <row r="15" spans="1:8">
      <c r="A15" s="301" t="s">
        <v>108</v>
      </c>
      <c r="B15" s="302"/>
      <c r="C15" s="303">
        <f>+'Café Fruta(1)'!G28</f>
        <v>0</v>
      </c>
      <c r="D15" s="304"/>
      <c r="E15" s="303">
        <f>+'Café Fruta(1)'!K28</f>
        <v>0</v>
      </c>
      <c r="F15" s="304"/>
      <c r="G15" s="305">
        <f>SUM(C15+E15)</f>
        <v>0</v>
      </c>
      <c r="H15" s="306"/>
    </row>
    <row r="16" spans="1:8">
      <c r="A16" s="301" t="s">
        <v>109</v>
      </c>
      <c r="B16" s="302"/>
      <c r="C16" s="303">
        <f>+'Café Fruta(1)'!F28</f>
        <v>0</v>
      </c>
      <c r="D16" s="304"/>
      <c r="E16" s="303">
        <f>+'Café Fruta(1)'!J28</f>
        <v>0</v>
      </c>
      <c r="F16" s="304"/>
      <c r="G16" s="305">
        <f>E16+C16</f>
        <v>0</v>
      </c>
      <c r="H16" s="306"/>
    </row>
    <row r="17" spans="1:8">
      <c r="A17" s="301" t="s">
        <v>110</v>
      </c>
      <c r="B17" s="302"/>
      <c r="C17" s="305">
        <f>SUM(C15:D16)</f>
        <v>0</v>
      </c>
      <c r="D17" s="306"/>
      <c r="E17" s="305">
        <f>SUM(E15:F16)</f>
        <v>0</v>
      </c>
      <c r="F17" s="306"/>
      <c r="G17" s="305">
        <f>E17+C17</f>
        <v>0</v>
      </c>
      <c r="H17" s="306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F19" s="4" t="s">
        <v>111</v>
      </c>
      <c r="G19" s="1"/>
      <c r="H19" s="136">
        <f>BELLOTA!E15</f>
        <v>0</v>
      </c>
    </row>
    <row r="20" spans="1:8">
      <c r="A20" s="1"/>
      <c r="B20" s="1"/>
      <c r="C20" s="1"/>
      <c r="D20" s="1"/>
      <c r="F20" s="9" t="s">
        <v>112</v>
      </c>
      <c r="G20" s="1"/>
      <c r="H20" s="137">
        <f>G15+G16+H19</f>
        <v>0</v>
      </c>
    </row>
    <row r="21" spans="1:8">
      <c r="A21" s="1"/>
      <c r="B21" s="1"/>
      <c r="C21" s="1"/>
      <c r="D21" s="1"/>
      <c r="F21" s="9" t="s">
        <v>113</v>
      </c>
      <c r="G21" s="1"/>
      <c r="H21" s="138">
        <f>G16+H19</f>
        <v>0</v>
      </c>
    </row>
    <row r="22" spans="1:8">
      <c r="A22" s="1"/>
      <c r="B22" s="1"/>
      <c r="C22" s="1"/>
      <c r="D22" s="1"/>
      <c r="E22" s="9"/>
      <c r="F22" s="1"/>
      <c r="G22" s="1"/>
      <c r="H22" s="1"/>
    </row>
    <row r="23" spans="1:8">
      <c r="A23" s="1" t="s">
        <v>114</v>
      </c>
      <c r="B23" s="1"/>
      <c r="C23" s="1"/>
      <c r="D23" s="1"/>
      <c r="E23" s="139" t="str">
        <f>IF(G17=0," ",E33/G17*46)</f>
        <v xml:space="preserve"> </v>
      </c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3"/>
      <c r="B25" s="13"/>
      <c r="C25" s="13"/>
      <c r="D25" s="13"/>
      <c r="E25" s="13"/>
      <c r="F25" s="14"/>
      <c r="G25" s="14"/>
      <c r="H25" s="15"/>
    </row>
    <row r="26" spans="1:8">
      <c r="A26" s="13"/>
      <c r="B26" s="13"/>
      <c r="C26" s="13"/>
      <c r="D26" s="13"/>
      <c r="E26" s="13"/>
      <c r="F26" s="15"/>
      <c r="G26" s="15"/>
      <c r="H26" s="16"/>
    </row>
    <row r="27" spans="1:8" ht="39">
      <c r="A27" s="17" t="s">
        <v>115</v>
      </c>
      <c r="B27" s="18"/>
      <c r="C27" s="18"/>
      <c r="D27" s="19" t="s">
        <v>116</v>
      </c>
      <c r="E27" s="20" t="s">
        <v>117</v>
      </c>
      <c r="F27" s="108" t="s">
        <v>118</v>
      </c>
      <c r="G27" s="108" t="s">
        <v>119</v>
      </c>
      <c r="H27" s="21" t="s">
        <v>54</v>
      </c>
    </row>
    <row r="28" spans="1:8">
      <c r="A28" s="22" t="s">
        <v>120</v>
      </c>
      <c r="B28" s="23"/>
      <c r="C28" s="24"/>
      <c r="D28" s="25" t="e">
        <f>IF(E28="","",E28/$E$33%)</f>
        <v>#DIV/0!</v>
      </c>
      <c r="E28" s="226">
        <f>+'Ventas Export.(2)'!F54</f>
        <v>0</v>
      </c>
      <c r="F28" s="30">
        <f>+'Ventas Export.(2)'!H54</f>
        <v>0</v>
      </c>
      <c r="G28" s="28">
        <f t="shared" ref="G28:G31" si="0">IF(OR(H28=0,E28=0),0,H28/E28)</f>
        <v>0</v>
      </c>
      <c r="H28" s="227">
        <f>+'Ventas Export.(2)'!J54</f>
        <v>0</v>
      </c>
    </row>
    <row r="29" spans="1:8">
      <c r="A29" s="22" t="s">
        <v>121</v>
      </c>
      <c r="B29" s="23"/>
      <c r="C29" s="24"/>
      <c r="D29" s="25" t="e">
        <f>IF(E29="","",E29/$E$33%)</f>
        <v>#DIV/0!</v>
      </c>
      <c r="E29" s="226">
        <f>+'Ventas Cons.Nac.(3)'!F21</f>
        <v>0</v>
      </c>
      <c r="F29" s="30"/>
      <c r="G29" s="28">
        <f t="shared" si="0"/>
        <v>0</v>
      </c>
      <c r="H29" s="227">
        <f>+'Ventas Cons.Nac.(3)'!H21</f>
        <v>0</v>
      </c>
    </row>
    <row r="30" spans="1:8">
      <c r="A30" s="22" t="s">
        <v>122</v>
      </c>
      <c r="B30" s="23"/>
      <c r="C30" s="24"/>
      <c r="D30" s="25" t="str">
        <f>IF(E30=0,"",E30/$E$33%)</f>
        <v/>
      </c>
      <c r="E30" s="226">
        <v>0</v>
      </c>
      <c r="F30" s="30"/>
      <c r="G30" s="28">
        <f t="shared" si="0"/>
        <v>0</v>
      </c>
      <c r="H30" s="227"/>
    </row>
    <row r="31" spans="1:8">
      <c r="A31" s="311" t="s">
        <v>123</v>
      </c>
      <c r="B31" s="312"/>
      <c r="C31" s="313"/>
      <c r="D31" s="25" t="str">
        <f>IF(E31="","",E31/$E$33%)</f>
        <v/>
      </c>
      <c r="E31" s="26"/>
      <c r="F31" s="27">
        <v>0</v>
      </c>
      <c r="G31" s="28">
        <f t="shared" si="0"/>
        <v>0</v>
      </c>
      <c r="H31" s="29">
        <v>0</v>
      </c>
    </row>
    <row r="32" spans="1:8">
      <c r="A32" s="22" t="s">
        <v>124</v>
      </c>
      <c r="B32" s="23"/>
      <c r="C32" s="24"/>
      <c r="D32" s="25"/>
      <c r="E32" s="26"/>
      <c r="F32" s="27"/>
      <c r="G32" s="28"/>
      <c r="H32" s="29"/>
    </row>
    <row r="33" spans="1:12">
      <c r="A33" s="17" t="s">
        <v>125</v>
      </c>
      <c r="B33" s="31"/>
      <c r="C33" s="32"/>
      <c r="D33" s="33" t="e">
        <f>SUM(D28:D31)</f>
        <v>#DIV/0!</v>
      </c>
      <c r="E33" s="33">
        <f>SUM(E28:E31)</f>
        <v>0</v>
      </c>
      <c r="F33" s="34"/>
      <c r="G33" s="140"/>
      <c r="H33" s="35">
        <f>SUM(H28:H32)</f>
        <v>0</v>
      </c>
    </row>
    <row r="34" spans="1:12">
      <c r="A34" s="1"/>
      <c r="B34" s="1"/>
      <c r="C34" s="1"/>
      <c r="D34" s="1"/>
      <c r="E34" s="1"/>
      <c r="F34" s="1"/>
      <c r="G34" s="1"/>
      <c r="H34" s="1"/>
    </row>
    <row r="35" spans="1:12">
      <c r="A35" s="4" t="s">
        <v>126</v>
      </c>
      <c r="B35" s="1"/>
      <c r="C35" s="1"/>
      <c r="D35" s="1"/>
      <c r="E35" s="1"/>
      <c r="F35" s="1"/>
      <c r="G35" s="1"/>
      <c r="H35" s="1"/>
    </row>
    <row r="36" spans="1:12">
      <c r="A36" s="4"/>
      <c r="B36" s="1"/>
      <c r="C36" s="1"/>
      <c r="D36" s="1"/>
      <c r="E36" s="1"/>
      <c r="F36" s="1"/>
      <c r="G36" s="1"/>
      <c r="H36" s="1"/>
    </row>
    <row r="37" spans="1:12" ht="15" customHeight="1">
      <c r="A37" s="1"/>
      <c r="B37" s="1"/>
      <c r="C37" s="1"/>
      <c r="D37" s="1"/>
      <c r="E37" s="1"/>
      <c r="F37" s="1"/>
      <c r="G37" s="1"/>
      <c r="H37" s="1"/>
    </row>
    <row r="38" spans="1:12">
      <c r="A38" s="1" t="s">
        <v>127</v>
      </c>
      <c r="B38" s="1"/>
      <c r="C38" s="1"/>
      <c r="D38" s="1"/>
      <c r="E38" s="36" t="str">
        <f>IF(E33=0," ",G38/E33)</f>
        <v xml:space="preserve"> </v>
      </c>
      <c r="F38" s="1" t="s">
        <v>128</v>
      </c>
      <c r="G38" s="228">
        <f>'Gastos(4)'!G31</f>
        <v>0</v>
      </c>
      <c r="H38" s="1"/>
    </row>
    <row r="39" spans="1:12">
      <c r="A39" s="1" t="s">
        <v>129</v>
      </c>
      <c r="B39" s="1"/>
      <c r="C39" s="1"/>
      <c r="D39" s="1"/>
      <c r="E39" s="162"/>
      <c r="F39" s="1"/>
      <c r="G39" s="37">
        <v>0</v>
      </c>
      <c r="H39" s="1"/>
    </row>
    <row r="40" spans="1:12">
      <c r="A40" s="1" t="s">
        <v>130</v>
      </c>
      <c r="B40" s="1"/>
      <c r="C40" s="1"/>
      <c r="D40" s="1"/>
      <c r="F40" s="1"/>
      <c r="G40" s="38">
        <f>H33-(G38+G39)</f>
        <v>0</v>
      </c>
      <c r="H40" s="1"/>
    </row>
    <row r="41" spans="1:12">
      <c r="A41" s="1" t="s">
        <v>131</v>
      </c>
      <c r="B41" s="1"/>
      <c r="C41" s="1"/>
      <c r="D41" s="1"/>
      <c r="E41" s="1"/>
      <c r="F41" s="1"/>
      <c r="G41" s="38">
        <f>G40*9%</f>
        <v>0</v>
      </c>
      <c r="H41" s="1"/>
    </row>
    <row r="42" spans="1:12">
      <c r="A42" s="1" t="s">
        <v>132</v>
      </c>
      <c r="B42" s="1"/>
      <c r="C42" s="1"/>
      <c r="D42" s="1"/>
      <c r="E42" s="1"/>
      <c r="F42" s="1"/>
      <c r="G42" s="1"/>
      <c r="H42" s="38">
        <f>G38+G41+G39</f>
        <v>0</v>
      </c>
    </row>
    <row r="43" spans="1:12">
      <c r="A43" s="1" t="s">
        <v>133</v>
      </c>
      <c r="B43" s="1"/>
      <c r="C43" s="1"/>
      <c r="D43" s="1"/>
      <c r="E43" s="1"/>
      <c r="F43" s="1"/>
      <c r="G43" s="1"/>
      <c r="H43" s="38">
        <f>H33-H42</f>
        <v>0</v>
      </c>
      <c r="L43" s="141"/>
    </row>
    <row r="44" spans="1:12">
      <c r="A44" s="1" t="s">
        <v>134</v>
      </c>
      <c r="B44" s="1"/>
      <c r="C44" s="1"/>
      <c r="D44" s="1"/>
      <c r="E44" s="1"/>
      <c r="F44" s="1"/>
      <c r="G44" s="1"/>
      <c r="H44" s="38">
        <f>IF(E23&gt;H10,0,(((H43/E33)*(H10-E23))*G17)/46)</f>
        <v>0</v>
      </c>
      <c r="J44" s="142"/>
      <c r="L44" s="143"/>
    </row>
    <row r="45" spans="1:12">
      <c r="A45" s="1" t="s">
        <v>135</v>
      </c>
      <c r="B45" s="1"/>
      <c r="C45" s="1"/>
      <c r="D45" s="1"/>
      <c r="E45" s="1"/>
      <c r="F45" s="1"/>
      <c r="G45" s="1"/>
      <c r="H45" s="38">
        <f>H43+H44</f>
        <v>0</v>
      </c>
    </row>
    <row r="46" spans="1:12">
      <c r="A46" s="1" t="s">
        <v>136</v>
      </c>
      <c r="B46" s="1"/>
      <c r="C46" s="1"/>
      <c r="D46" s="1"/>
      <c r="E46" s="1"/>
      <c r="F46" s="1"/>
      <c r="G46" s="1"/>
      <c r="H46" s="39">
        <f>BELLOTA!H38</f>
        <v>0</v>
      </c>
    </row>
    <row r="47" spans="1:12">
      <c r="A47" s="1" t="s">
        <v>137</v>
      </c>
      <c r="B47" s="1"/>
      <c r="C47" s="1"/>
      <c r="D47" s="1"/>
      <c r="E47" s="1"/>
      <c r="F47" s="1"/>
      <c r="G47" s="1"/>
      <c r="H47" s="38">
        <f>H45+H46</f>
        <v>0</v>
      </c>
    </row>
    <row r="48" spans="1:12">
      <c r="A48" s="307" t="s">
        <v>138</v>
      </c>
      <c r="B48" s="307"/>
      <c r="C48" s="1"/>
      <c r="D48" s="1"/>
      <c r="E48" s="1"/>
      <c r="F48" s="1"/>
      <c r="G48" s="1"/>
      <c r="H48" s="40"/>
    </row>
    <row r="49" spans="1:8">
      <c r="A49" s="1" t="s">
        <v>139</v>
      </c>
      <c r="B49" s="1"/>
      <c r="C49" s="1"/>
      <c r="D49" s="1"/>
      <c r="E49" s="1"/>
      <c r="F49" s="1"/>
      <c r="G49" s="1"/>
      <c r="H49" s="38" t="str">
        <f>IF(H20=0," ",H47/H20)</f>
        <v xml:space="preserve"> </v>
      </c>
    </row>
    <row r="50" spans="1:8">
      <c r="A50" s="1" t="s">
        <v>231</v>
      </c>
      <c r="B50" s="1"/>
      <c r="C50" s="1"/>
      <c r="D50" s="1"/>
      <c r="E50" s="1"/>
      <c r="F50" s="1"/>
      <c r="G50" s="1"/>
      <c r="H50" s="38">
        <f>IF(G15=0,0,H49*0.55)</f>
        <v>0</v>
      </c>
    </row>
    <row r="51" spans="1:8">
      <c r="A51" s="1" t="s">
        <v>140</v>
      </c>
      <c r="B51" s="1"/>
      <c r="C51" s="1"/>
      <c r="D51" s="1"/>
      <c r="E51" s="1"/>
      <c r="F51" s="1"/>
      <c r="G51" s="1"/>
      <c r="H51" s="38">
        <f>IF(H21=0,0,IF(H19=0,((H47-(H50*G15))/G16),((H47-(H50*G15))/H21)))</f>
        <v>0</v>
      </c>
    </row>
    <row r="52" spans="1:8">
      <c r="A52" s="4" t="s">
        <v>141</v>
      </c>
      <c r="B52" s="1"/>
      <c r="C52" s="1"/>
      <c r="D52" s="1"/>
      <c r="E52" s="1"/>
      <c r="F52" s="1"/>
      <c r="G52" s="37">
        <v>0</v>
      </c>
      <c r="H52" s="1"/>
    </row>
    <row r="53" spans="1:8">
      <c r="A53" s="4" t="s">
        <v>142</v>
      </c>
      <c r="B53" s="1"/>
      <c r="C53" s="1"/>
      <c r="D53" s="1"/>
      <c r="E53" s="1"/>
      <c r="F53" s="1"/>
      <c r="G53" s="37"/>
      <c r="H53" s="1"/>
    </row>
    <row r="54" spans="1:8">
      <c r="A54" s="307" t="s">
        <v>143</v>
      </c>
      <c r="B54" s="307"/>
      <c r="C54" s="1"/>
      <c r="D54" s="1"/>
      <c r="E54" s="1"/>
      <c r="F54" s="1"/>
      <c r="G54" s="1"/>
      <c r="H54" s="1"/>
    </row>
    <row r="55" spans="1:8">
      <c r="A55" s="1" t="s">
        <v>144</v>
      </c>
      <c r="B55" s="9"/>
      <c r="C55" s="1"/>
      <c r="D55" s="1"/>
      <c r="E55" s="1"/>
      <c r="F55" s="1"/>
      <c r="G55" s="1"/>
      <c r="H55" s="38" t="str">
        <f>IF(OR(H20=0,H20=""),"",H49-((G52+G53)/H20))</f>
        <v/>
      </c>
    </row>
    <row r="56" spans="1:8">
      <c r="A56" s="1" t="s">
        <v>145</v>
      </c>
      <c r="B56" s="9"/>
      <c r="C56" s="1"/>
      <c r="D56" s="1"/>
      <c r="E56" s="1"/>
      <c r="F56" s="1"/>
      <c r="G56" s="1"/>
      <c r="H56" s="38">
        <f>+IF(OR(H20=0,H20="",G15=0,G15=""),0,H50-((G52+G53)/H20))</f>
        <v>0</v>
      </c>
    </row>
    <row r="57" spans="1:8">
      <c r="A57" s="1" t="s">
        <v>146</v>
      </c>
      <c r="B57" s="9"/>
      <c r="C57" s="1"/>
      <c r="D57" s="1"/>
      <c r="E57" s="1"/>
      <c r="F57" s="1"/>
      <c r="G57" s="1"/>
      <c r="H57" s="157">
        <f>+IF(OR(H20=0,H20="",G16="",G16=0),0,H51-((G52+G53)/H20))</f>
        <v>0</v>
      </c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4" t="s">
        <v>147</v>
      </c>
    </row>
    <row r="60" spans="1:8">
      <c r="A60" s="4" t="s">
        <v>148</v>
      </c>
      <c r="D60" s="41"/>
      <c r="E60" s="144"/>
    </row>
    <row r="61" spans="1:8">
      <c r="D61" s="43" t="s">
        <v>149</v>
      </c>
      <c r="E61" s="43" t="s">
        <v>150</v>
      </c>
      <c r="F61" s="4"/>
    </row>
    <row r="62" spans="1:8" ht="6.95" customHeight="1"/>
    <row r="63" spans="1:8">
      <c r="B63" s="4" t="s">
        <v>151</v>
      </c>
    </row>
    <row r="64" spans="1:8" ht="6.95" customHeight="1"/>
    <row r="65" spans="1:8" ht="38.25" customHeight="1">
      <c r="A65" s="44"/>
      <c r="B65" s="45" t="s">
        <v>152</v>
      </c>
      <c r="C65" s="308" t="s">
        <v>153</v>
      </c>
      <c r="D65" s="309"/>
    </row>
    <row r="66" spans="1:8">
      <c r="A66" s="44" t="s">
        <v>154</v>
      </c>
      <c r="B66" s="199"/>
      <c r="C66" s="35" t="str">
        <f>C69</f>
        <v/>
      </c>
      <c r="D66" s="35" t="str">
        <f>+IF(C66="","",C66-(G52/H20))</f>
        <v/>
      </c>
    </row>
    <row r="67" spans="1:8">
      <c r="A67" s="44" t="s">
        <v>155</v>
      </c>
      <c r="B67" s="199"/>
      <c r="C67" s="35" t="str">
        <f>IF(C66="","",C66*E60)</f>
        <v/>
      </c>
      <c r="D67" s="35" t="str">
        <f>+IF(C67="","",C67-(G52/H20))</f>
        <v/>
      </c>
    </row>
    <row r="68" spans="1:8">
      <c r="A68" s="44" t="s">
        <v>156</v>
      </c>
      <c r="B68" s="47" t="str">
        <f>IF(OR(B66=0,B67=0),"",SUM(B66:B67))</f>
        <v/>
      </c>
      <c r="C68" s="35" t="str">
        <f>IF(OR(D60=0,B66=0,B67=0),"",H51)</f>
        <v/>
      </c>
      <c r="D68" t="s">
        <v>157</v>
      </c>
    </row>
    <row r="69" spans="1:8">
      <c r="B69" s="35">
        <f>IF(OR(B66=0,B67=0),0,((B66*D60)+B67))</f>
        <v>0</v>
      </c>
      <c r="C69" s="48" t="str">
        <f>IF(OR(D60=0,B66=0,B67=0),"",(B68/(E60*B67+B66)*H51))</f>
        <v/>
      </c>
    </row>
    <row r="71" spans="1:8">
      <c r="A71" s="49" t="s">
        <v>158</v>
      </c>
    </row>
    <row r="72" spans="1:8">
      <c r="A72" s="49" t="s">
        <v>159</v>
      </c>
    </row>
    <row r="75" spans="1:8" ht="17.25">
      <c r="A75" s="145" t="s">
        <v>160</v>
      </c>
      <c r="B75" s="51"/>
      <c r="D75" s="205" t="s">
        <v>161</v>
      </c>
      <c r="E75" s="205"/>
      <c r="F75" s="310" t="s">
        <v>162</v>
      </c>
      <c r="G75" s="310"/>
      <c r="H75" s="205" t="s">
        <v>163</v>
      </c>
    </row>
    <row r="77" spans="1:8" ht="15.75">
      <c r="A77" s="145" t="s">
        <v>164</v>
      </c>
      <c r="D77" s="205" t="s">
        <v>165</v>
      </c>
      <c r="E77" s="206"/>
    </row>
    <row r="79" spans="1:8" ht="22.5" customHeight="1">
      <c r="A79" s="146" t="s">
        <v>166</v>
      </c>
      <c r="B79" s="147"/>
      <c r="C79" s="147"/>
      <c r="D79" s="52" t="s">
        <v>161</v>
      </c>
    </row>
  </sheetData>
  <sheetProtection algorithmName="SHA-512" hashValue="rIaXi1IJhGh21Fgeuq88/LJ9O5KEXJXU/JRLj030a93J9KuVFDUTTbxUehj+7WQ/UKbcw7MJGCryLt8jFF5z/w==" saltValue="PUN0pZk+hfp0OJ82gsB5mQ==" spinCount="100000" sheet="1" objects="1" scenarios="1"/>
  <mergeCells count="24">
    <mergeCell ref="A48:B48"/>
    <mergeCell ref="A54:B54"/>
    <mergeCell ref="C65:D65"/>
    <mergeCell ref="F75:G75"/>
    <mergeCell ref="A17:B17"/>
    <mergeCell ref="C17:D17"/>
    <mergeCell ref="E17:F17"/>
    <mergeCell ref="G17:H17"/>
    <mergeCell ref="A31:C31"/>
    <mergeCell ref="A15:B15"/>
    <mergeCell ref="C15:D15"/>
    <mergeCell ref="E15:F15"/>
    <mergeCell ref="G15:H15"/>
    <mergeCell ref="A16:B16"/>
    <mergeCell ref="C16:D16"/>
    <mergeCell ref="E16:F16"/>
    <mergeCell ref="G16:H16"/>
    <mergeCell ref="C2:D3"/>
    <mergeCell ref="E2:G3"/>
    <mergeCell ref="B10:D10"/>
    <mergeCell ref="A13:B14"/>
    <mergeCell ref="C13:D14"/>
    <mergeCell ref="E13:F14"/>
    <mergeCell ref="G13:H14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18AF-E7E2-4AB7-B09E-D27A46521B83}">
  <sheetPr codeName="Hoja1">
    <tabColor theme="2" tint="-9.9978637043366805E-2"/>
  </sheetPr>
  <dimension ref="A1:H46"/>
  <sheetViews>
    <sheetView showGridLines="0" view="pageBreakPreview" zoomScale="60" zoomScaleNormal="60" workbookViewId="0">
      <selection activeCell="N32" sqref="N32"/>
    </sheetView>
  </sheetViews>
  <sheetFormatPr baseColWidth="10" defaultColWidth="11.42578125" defaultRowHeight="15"/>
  <cols>
    <col min="1" max="2" width="1.42578125" customWidth="1"/>
    <col min="3" max="3" width="2.140625" customWidth="1"/>
    <col min="4" max="4" width="23.5703125" customWidth="1"/>
    <col min="5" max="5" width="20.5703125" customWidth="1"/>
    <col min="6" max="6" width="12.85546875" bestFit="1" customWidth="1"/>
    <col min="7" max="7" width="22.140625" customWidth="1"/>
    <col min="8" max="8" width="1.42578125" customWidth="1"/>
  </cols>
  <sheetData>
    <row r="1" spans="1:8" ht="6.75" customHeight="1">
      <c r="A1" s="55"/>
      <c r="B1" s="55"/>
      <c r="C1" s="55"/>
      <c r="D1" s="55"/>
      <c r="E1" s="55"/>
      <c r="F1" s="55"/>
      <c r="G1" s="55"/>
      <c r="H1" s="55"/>
    </row>
    <row r="2" spans="1:8">
      <c r="A2" s="55"/>
      <c r="B2" s="55"/>
      <c r="C2" s="314" t="s">
        <v>68</v>
      </c>
      <c r="D2" s="314"/>
      <c r="E2" s="314"/>
      <c r="F2" s="314"/>
      <c r="G2" s="314"/>
      <c r="H2" s="55"/>
    </row>
    <row r="3" spans="1:8" ht="15.75">
      <c r="A3" s="100"/>
      <c r="B3" s="151"/>
      <c r="C3" s="68"/>
      <c r="D3" s="149">
        <f>+'Café Fruta(1)'!L4</f>
        <v>0</v>
      </c>
      <c r="E3" s="150">
        <f>+'Café Fruta(1)'!F4</f>
        <v>0</v>
      </c>
      <c r="F3" s="68"/>
      <c r="G3" s="68"/>
      <c r="H3" s="55"/>
    </row>
    <row r="4" spans="1:8">
      <c r="A4" s="55"/>
      <c r="B4" s="55"/>
      <c r="C4" s="263" t="s">
        <v>69</v>
      </c>
      <c r="D4" s="263"/>
      <c r="E4" s="263"/>
      <c r="F4" s="263"/>
      <c r="G4" s="263"/>
      <c r="H4" s="55"/>
    </row>
    <row r="5" spans="1:8">
      <c r="A5" s="55"/>
      <c r="B5" s="55"/>
      <c r="E5" s="101" t="s">
        <v>70</v>
      </c>
      <c r="F5" s="152" t="str">
        <f>+'Café Fruta(1)'!G3</f>
        <v>2022-2023</v>
      </c>
      <c r="H5" s="55"/>
    </row>
    <row r="6" spans="1:8">
      <c r="A6" s="55"/>
      <c r="B6" s="55"/>
      <c r="C6" s="263" t="s">
        <v>167</v>
      </c>
      <c r="D6" s="263"/>
      <c r="E6" s="263"/>
      <c r="F6" s="114" t="str">
        <f>BELLOTA!C3</f>
        <v>BELLOTA</v>
      </c>
      <c r="H6" s="55"/>
    </row>
    <row r="7" spans="1:8" ht="15.75" thickBot="1">
      <c r="A7" s="55"/>
      <c r="B7" s="55"/>
      <c r="D7" s="169"/>
      <c r="E7" s="170"/>
      <c r="F7" s="148"/>
      <c r="H7" s="55"/>
    </row>
    <row r="8" spans="1:8" s="59" customFormat="1" ht="15.95" customHeight="1">
      <c r="A8" s="56"/>
      <c r="B8" s="56"/>
      <c r="C8" s="57"/>
      <c r="F8" s="54" t="s">
        <v>72</v>
      </c>
      <c r="G8" s="58" t="s">
        <v>73</v>
      </c>
      <c r="H8" s="56"/>
    </row>
    <row r="9" spans="1:8" s="59" customFormat="1" ht="15.95" customHeight="1" thickBot="1">
      <c r="A9" s="56"/>
      <c r="B9" s="56"/>
      <c r="C9" s="60" t="s">
        <v>74</v>
      </c>
      <c r="D9" s="61"/>
      <c r="E9" s="61"/>
      <c r="F9" s="62" t="s">
        <v>75</v>
      </c>
      <c r="G9" s="63" t="s">
        <v>76</v>
      </c>
      <c r="H9" s="56"/>
    </row>
    <row r="10" spans="1:8" s="59" customFormat="1" ht="4.5" customHeight="1">
      <c r="A10" s="56"/>
      <c r="B10" s="56"/>
      <c r="F10" s="64"/>
      <c r="G10" s="65"/>
      <c r="H10" s="56"/>
    </row>
    <row r="11" spans="1:8" s="59" customFormat="1" ht="15.95" customHeight="1">
      <c r="A11" s="56"/>
      <c r="B11" s="56"/>
      <c r="C11" s="66" t="s">
        <v>168</v>
      </c>
      <c r="D11" s="66"/>
      <c r="E11" s="66"/>
      <c r="F11" s="67" t="str">
        <f t="shared" ref="F11:F25" si="0">IF($G$33=0,"",G11/$G$33)</f>
        <v/>
      </c>
      <c r="G11" s="166"/>
      <c r="H11" s="56"/>
    </row>
    <row r="12" spans="1:8" s="59" customFormat="1" ht="15.95" customHeight="1">
      <c r="A12" s="56"/>
      <c r="B12" s="56"/>
      <c r="D12" s="69" t="s">
        <v>78</v>
      </c>
      <c r="E12" s="69"/>
      <c r="F12" s="70" t="str">
        <f t="shared" si="0"/>
        <v/>
      </c>
      <c r="G12" s="166"/>
      <c r="H12" s="56"/>
    </row>
    <row r="13" spans="1:8" s="59" customFormat="1" ht="15.95" customHeight="1">
      <c r="A13" s="56"/>
      <c r="B13" s="56"/>
      <c r="D13" s="66" t="s">
        <v>79</v>
      </c>
      <c r="E13" s="66"/>
      <c r="F13" s="67" t="str">
        <f t="shared" si="0"/>
        <v/>
      </c>
      <c r="G13" s="166"/>
      <c r="H13" s="56"/>
    </row>
    <row r="14" spans="1:8" s="59" customFormat="1" ht="15.95" customHeight="1">
      <c r="A14" s="56"/>
      <c r="B14" s="56"/>
      <c r="C14" s="66" t="s">
        <v>169</v>
      </c>
      <c r="D14" s="66"/>
      <c r="E14" s="66"/>
      <c r="F14" s="67" t="str">
        <f t="shared" si="0"/>
        <v/>
      </c>
      <c r="G14" s="166"/>
      <c r="H14" s="56"/>
    </row>
    <row r="15" spans="1:8" s="59" customFormat="1" ht="15.95" customHeight="1">
      <c r="A15" s="56"/>
      <c r="B15" s="56"/>
      <c r="C15" s="66" t="s">
        <v>81</v>
      </c>
      <c r="D15" s="66"/>
      <c r="E15" s="66"/>
      <c r="F15" s="67" t="str">
        <f t="shared" si="0"/>
        <v/>
      </c>
      <c r="G15" s="166"/>
      <c r="H15" s="56"/>
    </row>
    <row r="16" spans="1:8" s="59" customFormat="1" ht="15.95" customHeight="1">
      <c r="A16" s="56"/>
      <c r="B16" s="56"/>
      <c r="C16" s="66" t="s">
        <v>82</v>
      </c>
      <c r="D16" s="66"/>
      <c r="E16" s="66"/>
      <c r="F16" s="67" t="str">
        <f t="shared" si="0"/>
        <v/>
      </c>
      <c r="G16" s="166"/>
      <c r="H16" s="56"/>
    </row>
    <row r="17" spans="1:8" s="59" customFormat="1" ht="15.95" customHeight="1">
      <c r="A17" s="56"/>
      <c r="B17" s="56"/>
      <c r="C17" s="59" t="s">
        <v>170</v>
      </c>
      <c r="F17" s="64" t="str">
        <f t="shared" si="0"/>
        <v/>
      </c>
      <c r="G17" s="166"/>
      <c r="H17" s="56"/>
    </row>
    <row r="18" spans="1:8" s="59" customFormat="1" ht="15.95" customHeight="1">
      <c r="A18" s="56"/>
      <c r="B18" s="56"/>
      <c r="C18" s="69" t="s">
        <v>171</v>
      </c>
      <c r="D18" s="69"/>
      <c r="E18" s="69"/>
      <c r="F18" s="70" t="str">
        <f t="shared" si="0"/>
        <v/>
      </c>
      <c r="G18" s="166"/>
      <c r="H18" s="56"/>
    </row>
    <row r="19" spans="1:8" s="59" customFormat="1" ht="15.95" customHeight="1">
      <c r="A19" s="56"/>
      <c r="B19" s="56"/>
      <c r="C19" s="69" t="s">
        <v>172</v>
      </c>
      <c r="D19" s="69"/>
      <c r="E19" s="69"/>
      <c r="F19" s="70" t="str">
        <f t="shared" si="0"/>
        <v/>
      </c>
      <c r="G19" s="166"/>
      <c r="H19" s="56"/>
    </row>
    <row r="20" spans="1:8" s="59" customFormat="1" ht="15.95" customHeight="1">
      <c r="A20" s="56"/>
      <c r="B20" s="56"/>
      <c r="C20" s="69" t="s">
        <v>86</v>
      </c>
      <c r="D20" s="69"/>
      <c r="E20" s="69"/>
      <c r="F20" s="70" t="str">
        <f t="shared" si="0"/>
        <v/>
      </c>
      <c r="G20" s="166"/>
      <c r="H20" s="56"/>
    </row>
    <row r="21" spans="1:8" s="59" customFormat="1" ht="15.95" customHeight="1">
      <c r="A21" s="56"/>
      <c r="B21" s="56"/>
      <c r="C21" s="66" t="s">
        <v>87</v>
      </c>
      <c r="D21" s="66"/>
      <c r="E21" s="66"/>
      <c r="F21" s="67" t="str">
        <f t="shared" si="0"/>
        <v/>
      </c>
      <c r="G21" s="166"/>
      <c r="H21" s="56"/>
    </row>
    <row r="22" spans="1:8" s="59" customFormat="1" ht="15.95" customHeight="1">
      <c r="A22" s="56"/>
      <c r="B22" s="56"/>
      <c r="C22" s="66" t="s">
        <v>173</v>
      </c>
      <c r="D22" s="66"/>
      <c r="E22" s="66"/>
      <c r="F22" s="67" t="str">
        <f t="shared" si="0"/>
        <v/>
      </c>
      <c r="G22" s="166"/>
      <c r="H22" s="56"/>
    </row>
    <row r="23" spans="1:8" s="59" customFormat="1" ht="15.95" customHeight="1">
      <c r="A23" s="56"/>
      <c r="B23" s="56"/>
      <c r="C23" s="66" t="s">
        <v>174</v>
      </c>
      <c r="D23" s="66"/>
      <c r="E23" s="66"/>
      <c r="F23" s="67" t="str">
        <f t="shared" si="0"/>
        <v/>
      </c>
      <c r="G23" s="166"/>
      <c r="H23" s="56"/>
    </row>
    <row r="24" spans="1:8" s="59" customFormat="1" ht="15.95" customHeight="1">
      <c r="A24" s="56"/>
      <c r="B24" s="56"/>
      <c r="C24" s="66" t="s">
        <v>175</v>
      </c>
      <c r="D24" s="66"/>
      <c r="E24" s="66"/>
      <c r="F24" s="67" t="str">
        <f t="shared" si="0"/>
        <v/>
      </c>
      <c r="G24" s="166"/>
      <c r="H24" s="56"/>
    </row>
    <row r="25" spans="1:8" s="59" customFormat="1" ht="15.95" customHeight="1">
      <c r="A25" s="56"/>
      <c r="B25" s="56"/>
      <c r="C25" s="59" t="s">
        <v>176</v>
      </c>
      <c r="F25" s="64" t="str">
        <f t="shared" si="0"/>
        <v/>
      </c>
      <c r="G25" s="166"/>
      <c r="H25" s="56"/>
    </row>
    <row r="26" spans="1:8" ht="3.75" customHeight="1" thickBot="1">
      <c r="A26" s="55"/>
      <c r="B26" s="55"/>
      <c r="F26" s="71"/>
      <c r="G26" s="167"/>
      <c r="H26" s="55"/>
    </row>
    <row r="27" spans="1:8" ht="18" customHeight="1" thickBot="1">
      <c r="A27" s="55"/>
      <c r="B27" s="55"/>
      <c r="C27" s="73" t="s">
        <v>92</v>
      </c>
      <c r="D27" s="74"/>
      <c r="E27" s="74"/>
      <c r="F27" s="75" t="str">
        <f>IF($G$33=0,"",SUM(F11:F26))</f>
        <v/>
      </c>
      <c r="G27" s="76">
        <f>SUM(G11:G26)</f>
        <v>0</v>
      </c>
      <c r="H27" s="55"/>
    </row>
    <row r="28" spans="1:8" ht="3.75" customHeight="1">
      <c r="A28" s="55"/>
      <c r="B28" s="55"/>
      <c r="F28" s="71"/>
      <c r="G28" s="72"/>
      <c r="H28" s="55"/>
    </row>
    <row r="29" spans="1:8" ht="15.95" customHeight="1">
      <c r="A29" s="55"/>
      <c r="B29" s="55"/>
      <c r="C29" t="s">
        <v>93</v>
      </c>
      <c r="F29" s="71" t="str">
        <f>IF($G$33=0,"",G29/$G$33)</f>
        <v/>
      </c>
      <c r="G29" s="184">
        <v>0</v>
      </c>
      <c r="H29" s="55"/>
    </row>
    <row r="30" spans="1:8" ht="3.75" customHeight="1" thickBot="1">
      <c r="A30" s="55"/>
      <c r="B30" s="55"/>
      <c r="F30" s="71"/>
      <c r="G30" s="72"/>
      <c r="H30" s="55"/>
    </row>
    <row r="31" spans="1:8" ht="18" customHeight="1" thickBot="1">
      <c r="A31" s="55"/>
      <c r="B31" s="55"/>
      <c r="C31" s="77" t="s">
        <v>95</v>
      </c>
      <c r="D31" s="74"/>
      <c r="E31" s="74"/>
      <c r="F31" s="75" t="str">
        <f>IF($G$33=0,"",SUM(F27:F30))</f>
        <v/>
      </c>
      <c r="G31" s="76">
        <f>SUM(G27:G30)</f>
        <v>0</v>
      </c>
      <c r="H31" s="55"/>
    </row>
    <row r="32" spans="1:8" ht="15.75" thickBot="1">
      <c r="A32" s="55"/>
      <c r="B32" s="55"/>
      <c r="H32" s="55"/>
    </row>
    <row r="33" spans="1:8" ht="15.75" thickBot="1">
      <c r="A33" s="55"/>
      <c r="B33" s="55"/>
      <c r="E33" s="77" t="s">
        <v>96</v>
      </c>
      <c r="F33" s="78"/>
      <c r="G33" s="79">
        <f>(BELLOTA!E22+BELLOTA!E23)*46</f>
        <v>0</v>
      </c>
      <c r="H33" s="55"/>
    </row>
    <row r="34" spans="1:8" ht="19.5" customHeight="1">
      <c r="A34" s="55"/>
      <c r="B34" s="55"/>
      <c r="C34" s="80" t="s">
        <v>97</v>
      </c>
      <c r="H34" s="55"/>
    </row>
    <row r="35" spans="1:8" ht="6" customHeight="1">
      <c r="A35" s="55"/>
      <c r="B35" s="55"/>
      <c r="H35" s="55"/>
    </row>
    <row r="36" spans="1:8" ht="15" customHeight="1">
      <c r="A36" s="55"/>
      <c r="B36" s="55"/>
      <c r="C36" s="56"/>
      <c r="D36" s="56"/>
      <c r="E36" s="56"/>
      <c r="F36" s="56"/>
      <c r="G36" s="59"/>
      <c r="H36" s="55"/>
    </row>
    <row r="37" spans="1:8" ht="15" customHeight="1">
      <c r="A37" s="55"/>
      <c r="B37" s="55"/>
      <c r="C37" s="56"/>
      <c r="D37" s="56"/>
      <c r="E37" s="56"/>
      <c r="F37" s="56"/>
      <c r="G37" s="59"/>
      <c r="H37" s="55"/>
    </row>
    <row r="38" spans="1:8" ht="15" customHeight="1">
      <c r="A38" s="55"/>
      <c r="B38" s="55"/>
      <c r="C38" s="56"/>
      <c r="D38" s="56" t="s">
        <v>177</v>
      </c>
      <c r="E38" s="56"/>
      <c r="F38" s="56"/>
      <c r="G38" s="59"/>
      <c r="H38" s="55"/>
    </row>
    <row r="39" spans="1:8" ht="6.75" customHeight="1">
      <c r="A39" s="55"/>
      <c r="B39" s="55"/>
      <c r="C39" s="55"/>
      <c r="D39" s="55"/>
      <c r="E39" s="55"/>
      <c r="F39" s="55"/>
      <c r="G39" s="55"/>
      <c r="H39" s="55"/>
    </row>
    <row r="41" spans="1:8" ht="15.75" thickBot="1">
      <c r="B41" s="59"/>
      <c r="C41" s="59"/>
      <c r="D41" s="59"/>
      <c r="E41" s="59"/>
    </row>
    <row r="42" spans="1:8">
      <c r="B42" s="59"/>
      <c r="C42" s="281" t="s">
        <v>178</v>
      </c>
      <c r="D42" s="282"/>
      <c r="E42" s="283"/>
    </row>
    <row r="43" spans="1:8">
      <c r="B43" s="59"/>
      <c r="C43" s="284"/>
      <c r="D43" s="285"/>
      <c r="E43" s="286"/>
    </row>
    <row r="44" spans="1:8">
      <c r="B44" s="59"/>
      <c r="C44" s="284"/>
      <c r="D44" s="285"/>
      <c r="E44" s="286"/>
    </row>
    <row r="45" spans="1:8" ht="15.75" thickBot="1">
      <c r="B45" s="59"/>
      <c r="C45" s="287"/>
      <c r="D45" s="288"/>
      <c r="E45" s="289"/>
    </row>
    <row r="46" spans="1:8">
      <c r="B46" s="59"/>
      <c r="C46" s="59"/>
      <c r="D46" s="59"/>
      <c r="E46" s="59"/>
    </row>
  </sheetData>
  <sheetProtection algorithmName="SHA-512" hashValue="N5Oo+Guq6e2nI6nRjut4ZvCGdRj28YLXWox+3RKwrYDwASiIr3iRT/EUXdpsTyJF1jJPUx94Mh3ZOE9p2cQiZg==" saltValue="K9tD/umI4S3PqkjZdHj+xQ==" spinCount="100000" sheet="1" objects="1" scenarios="1"/>
  <mergeCells count="4">
    <mergeCell ref="C2:G2"/>
    <mergeCell ref="C4:G4"/>
    <mergeCell ref="C6:E6"/>
    <mergeCell ref="C42:E45"/>
  </mergeCells>
  <pageMargins left="0.7" right="0.7" top="0.75" bottom="0.75" header="0.3" footer="0.3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0E0C-FE3E-438E-9D4D-244ECF38746C}">
  <sheetPr codeName="Hoja9">
    <tabColor theme="2" tint="-9.9978637043366805E-2"/>
  </sheetPr>
  <dimension ref="B1:M30"/>
  <sheetViews>
    <sheetView showGridLines="0" zoomScale="80" zoomScaleNormal="80" workbookViewId="0">
      <selection activeCell="M37" sqref="M37"/>
    </sheetView>
  </sheetViews>
  <sheetFormatPr baseColWidth="10" defaultColWidth="11.42578125" defaultRowHeight="15"/>
  <cols>
    <col min="1" max="1" width="2" customWidth="1"/>
    <col min="2" max="2" width="9.28515625" style="92" customWidth="1"/>
    <col min="3" max="3" width="14" style="92" customWidth="1"/>
    <col min="4" max="4" width="16.7109375" customWidth="1"/>
    <col min="5" max="5" width="11.42578125" hidden="1" customWidth="1"/>
    <col min="6" max="6" width="13.28515625" bestFit="1" customWidth="1"/>
    <col min="7" max="7" width="13" customWidth="1"/>
    <col min="8" max="8" width="11.42578125" hidden="1" customWidth="1"/>
    <col min="9" max="9" width="14.42578125" customWidth="1"/>
    <col min="10" max="10" width="12.7109375" bestFit="1" customWidth="1"/>
    <col min="11" max="11" width="18.140625" customWidth="1"/>
    <col min="12" max="13" width="12.28515625" bestFit="1" customWidth="1"/>
  </cols>
  <sheetData>
    <row r="1" spans="2:13" ht="15.75" thickBot="1"/>
    <row r="2" spans="2:13" ht="19.5" thickBot="1">
      <c r="B2" s="238" t="s">
        <v>107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40"/>
    </row>
    <row r="3" spans="2:13" ht="19.5" thickBot="1">
      <c r="B3" s="119"/>
      <c r="C3" s="159"/>
      <c r="D3" s="159"/>
      <c r="E3" s="119"/>
      <c r="F3" s="94" t="s">
        <v>14</v>
      </c>
      <c r="G3" s="210" t="str">
        <f>'Café Fruta(1)'!G3</f>
        <v>2022-2023</v>
      </c>
      <c r="H3" s="122"/>
      <c r="I3" s="119"/>
      <c r="J3" s="119"/>
      <c r="K3" s="119"/>
      <c r="L3" s="119"/>
      <c r="M3" s="212"/>
    </row>
    <row r="4" spans="2:13" ht="19.5" thickBot="1">
      <c r="B4" s="125" t="s">
        <v>15</v>
      </c>
      <c r="C4" s="126"/>
      <c r="D4" s="121"/>
      <c r="E4" s="119"/>
      <c r="F4" s="327">
        <f>'Café Fruta(1)'!F4</f>
        <v>0</v>
      </c>
      <c r="G4" s="327"/>
      <c r="H4" s="327"/>
      <c r="I4" s="327"/>
      <c r="J4" s="328"/>
      <c r="K4" s="209">
        <f>'Café Fruta(1)'!L4</f>
        <v>0</v>
      </c>
      <c r="L4" s="329"/>
      <c r="M4" s="330"/>
    </row>
    <row r="5" spans="2:13" ht="17.25" customHeight="1">
      <c r="C5" s="92" t="s">
        <v>17</v>
      </c>
      <c r="D5" t="s">
        <v>179</v>
      </c>
      <c r="E5" s="245"/>
      <c r="F5" s="315" t="s">
        <v>18</v>
      </c>
      <c r="G5" s="316"/>
      <c r="H5" s="316"/>
      <c r="I5" s="317"/>
      <c r="J5" s="321" t="s">
        <v>19</v>
      </c>
      <c r="K5" s="322"/>
      <c r="L5" s="323"/>
      <c r="M5" s="247" t="s">
        <v>20</v>
      </c>
    </row>
    <row r="6" spans="2:13" ht="15.75" thickBot="1">
      <c r="E6" s="246"/>
      <c r="F6" s="318"/>
      <c r="G6" s="319"/>
      <c r="H6" s="319"/>
      <c r="I6" s="320"/>
      <c r="J6" s="324"/>
      <c r="K6" s="325"/>
      <c r="L6" s="326"/>
      <c r="M6" s="247"/>
    </row>
    <row r="7" spans="2:13">
      <c r="C7" s="97" t="s">
        <v>21</v>
      </c>
      <c r="D7" s="97" t="s">
        <v>22</v>
      </c>
      <c r="E7" s="158"/>
      <c r="F7" s="331" t="s">
        <v>24</v>
      </c>
      <c r="G7" s="332"/>
      <c r="H7" s="124"/>
      <c r="I7" s="123" t="s">
        <v>20</v>
      </c>
      <c r="J7" s="331" t="s">
        <v>24</v>
      </c>
      <c r="K7" s="332"/>
      <c r="L7" s="123" t="s">
        <v>20</v>
      </c>
      <c r="M7" s="44"/>
    </row>
    <row r="8" spans="2:13">
      <c r="B8" s="92">
        <v>1</v>
      </c>
      <c r="C8" s="97" t="s">
        <v>25</v>
      </c>
      <c r="D8" s="98" t="s">
        <v>26</v>
      </c>
      <c r="E8" s="160"/>
      <c r="F8" s="333"/>
      <c r="G8" s="334"/>
      <c r="H8" s="194"/>
      <c r="I8" s="194">
        <f>+F8+G8</f>
        <v>0</v>
      </c>
      <c r="J8" s="335"/>
      <c r="K8" s="336"/>
      <c r="L8" s="216">
        <f>+J8+K8</f>
        <v>0</v>
      </c>
      <c r="M8" s="186">
        <f>+I8+L8</f>
        <v>0</v>
      </c>
    </row>
    <row r="9" spans="2:13">
      <c r="B9" s="92">
        <v>2</v>
      </c>
      <c r="C9" s="97" t="s">
        <v>25</v>
      </c>
      <c r="D9" s="97" t="s">
        <v>27</v>
      </c>
      <c r="E9" s="160"/>
      <c r="F9" s="333"/>
      <c r="G9" s="334"/>
      <c r="H9" s="194"/>
      <c r="I9" s="194">
        <f t="shared" ref="I9:I25" si="0">+F9+G9</f>
        <v>0</v>
      </c>
      <c r="J9" s="335"/>
      <c r="K9" s="336"/>
      <c r="L9" s="216">
        <f t="shared" ref="L9:L25" si="1">+J9+K9</f>
        <v>0</v>
      </c>
      <c r="M9" s="186">
        <f t="shared" ref="M9:M28" si="2">+I9+L9</f>
        <v>0</v>
      </c>
    </row>
    <row r="10" spans="2:13">
      <c r="B10" s="92">
        <v>3</v>
      </c>
      <c r="C10" s="97" t="s">
        <v>28</v>
      </c>
      <c r="D10" s="98" t="s">
        <v>26</v>
      </c>
      <c r="E10" s="160"/>
      <c r="F10" s="333"/>
      <c r="G10" s="334"/>
      <c r="H10" s="194"/>
      <c r="I10" s="194">
        <f t="shared" si="0"/>
        <v>0</v>
      </c>
      <c r="J10" s="335"/>
      <c r="K10" s="336"/>
      <c r="L10" s="216">
        <f t="shared" si="1"/>
        <v>0</v>
      </c>
      <c r="M10" s="186">
        <f t="shared" si="2"/>
        <v>0</v>
      </c>
    </row>
    <row r="11" spans="2:13">
      <c r="B11" s="92">
        <v>4</v>
      </c>
      <c r="C11" s="97" t="s">
        <v>28</v>
      </c>
      <c r="D11" s="97" t="s">
        <v>27</v>
      </c>
      <c r="E11" s="160"/>
      <c r="F11" s="333"/>
      <c r="G11" s="334"/>
      <c r="H11" s="194"/>
      <c r="I11" s="194">
        <f t="shared" si="0"/>
        <v>0</v>
      </c>
      <c r="J11" s="335"/>
      <c r="K11" s="336"/>
      <c r="L11" s="216">
        <f t="shared" si="1"/>
        <v>0</v>
      </c>
      <c r="M11" s="186">
        <f t="shared" si="2"/>
        <v>0</v>
      </c>
    </row>
    <row r="12" spans="2:13">
      <c r="B12" s="92">
        <v>5</v>
      </c>
      <c r="C12" s="97" t="s">
        <v>29</v>
      </c>
      <c r="D12" s="98" t="s">
        <v>26</v>
      </c>
      <c r="E12" s="160"/>
      <c r="F12" s="333"/>
      <c r="G12" s="334"/>
      <c r="H12" s="194"/>
      <c r="I12" s="194">
        <f t="shared" si="0"/>
        <v>0</v>
      </c>
      <c r="J12" s="335"/>
      <c r="K12" s="336"/>
      <c r="L12" s="216">
        <f t="shared" si="1"/>
        <v>0</v>
      </c>
      <c r="M12" s="186">
        <f t="shared" si="2"/>
        <v>0</v>
      </c>
    </row>
    <row r="13" spans="2:13">
      <c r="B13" s="92">
        <v>6</v>
      </c>
      <c r="C13" s="97" t="s">
        <v>29</v>
      </c>
      <c r="D13" s="97" t="s">
        <v>30</v>
      </c>
      <c r="E13" s="160"/>
      <c r="F13" s="333"/>
      <c r="G13" s="334"/>
      <c r="H13" s="194"/>
      <c r="I13" s="194">
        <f t="shared" si="0"/>
        <v>0</v>
      </c>
      <c r="J13" s="335"/>
      <c r="K13" s="336"/>
      <c r="L13" s="216">
        <f t="shared" si="1"/>
        <v>0</v>
      </c>
      <c r="M13" s="186">
        <f t="shared" si="2"/>
        <v>0</v>
      </c>
    </row>
    <row r="14" spans="2:13">
      <c r="B14" s="92">
        <v>7</v>
      </c>
      <c r="C14" s="97" t="s">
        <v>31</v>
      </c>
      <c r="D14" s="98" t="s">
        <v>26</v>
      </c>
      <c r="E14" s="160"/>
      <c r="F14" s="333"/>
      <c r="G14" s="334"/>
      <c r="H14" s="194"/>
      <c r="I14" s="194">
        <f t="shared" si="0"/>
        <v>0</v>
      </c>
      <c r="J14" s="335"/>
      <c r="K14" s="336"/>
      <c r="L14" s="216">
        <f t="shared" si="1"/>
        <v>0</v>
      </c>
      <c r="M14" s="186">
        <f t="shared" si="2"/>
        <v>0</v>
      </c>
    </row>
    <row r="15" spans="2:13">
      <c r="B15" s="92">
        <v>8</v>
      </c>
      <c r="C15" s="97" t="s">
        <v>31</v>
      </c>
      <c r="D15" s="97" t="s">
        <v>27</v>
      </c>
      <c r="E15" s="160"/>
      <c r="F15" s="333"/>
      <c r="G15" s="334"/>
      <c r="H15" s="194"/>
      <c r="I15" s="194">
        <f t="shared" si="0"/>
        <v>0</v>
      </c>
      <c r="J15" s="335"/>
      <c r="K15" s="336"/>
      <c r="L15" s="216">
        <f t="shared" si="1"/>
        <v>0</v>
      </c>
      <c r="M15" s="186">
        <f t="shared" si="2"/>
        <v>0</v>
      </c>
    </row>
    <row r="16" spans="2:13">
      <c r="B16" s="92">
        <v>9</v>
      </c>
      <c r="C16" s="97" t="s">
        <v>32</v>
      </c>
      <c r="D16" s="98" t="s">
        <v>26</v>
      </c>
      <c r="E16" s="23"/>
      <c r="F16" s="333"/>
      <c r="G16" s="337"/>
      <c r="H16" s="334"/>
      <c r="I16" s="194">
        <f t="shared" si="0"/>
        <v>0</v>
      </c>
      <c r="J16" s="335"/>
      <c r="K16" s="336"/>
      <c r="L16" s="216">
        <f t="shared" si="1"/>
        <v>0</v>
      </c>
      <c r="M16" s="186">
        <f t="shared" si="2"/>
        <v>0</v>
      </c>
    </row>
    <row r="17" spans="2:13">
      <c r="B17" s="92">
        <v>10</v>
      </c>
      <c r="C17" s="97" t="s">
        <v>32</v>
      </c>
      <c r="D17" s="98" t="s">
        <v>30</v>
      </c>
      <c r="E17" s="23"/>
      <c r="F17" s="333"/>
      <c r="G17" s="337"/>
      <c r="H17" s="334"/>
      <c r="I17" s="194">
        <f t="shared" si="0"/>
        <v>0</v>
      </c>
      <c r="J17" s="335"/>
      <c r="K17" s="336"/>
      <c r="L17" s="216">
        <f t="shared" si="1"/>
        <v>0</v>
      </c>
      <c r="M17" s="186">
        <f t="shared" si="2"/>
        <v>0</v>
      </c>
    </row>
    <row r="18" spans="2:13">
      <c r="B18" s="92">
        <v>11</v>
      </c>
      <c r="C18" s="97" t="s">
        <v>33</v>
      </c>
      <c r="D18" s="98" t="s">
        <v>26</v>
      </c>
      <c r="E18" s="23"/>
      <c r="F18" s="333"/>
      <c r="G18" s="337"/>
      <c r="H18" s="334"/>
      <c r="I18" s="194">
        <f t="shared" si="0"/>
        <v>0</v>
      </c>
      <c r="J18" s="335"/>
      <c r="K18" s="336"/>
      <c r="L18" s="216">
        <f t="shared" si="1"/>
        <v>0</v>
      </c>
      <c r="M18" s="186">
        <f t="shared" si="2"/>
        <v>0</v>
      </c>
    </row>
    <row r="19" spans="2:13">
      <c r="B19" s="92">
        <v>12</v>
      </c>
      <c r="C19" s="97" t="s">
        <v>33</v>
      </c>
      <c r="D19" s="98" t="s">
        <v>27</v>
      </c>
      <c r="F19" s="335"/>
      <c r="G19" s="336"/>
      <c r="H19" s="217"/>
      <c r="I19" s="194">
        <f t="shared" si="0"/>
        <v>0</v>
      </c>
      <c r="J19" s="335"/>
      <c r="K19" s="336"/>
      <c r="L19" s="216">
        <f t="shared" si="1"/>
        <v>0</v>
      </c>
      <c r="M19" s="186">
        <f t="shared" si="2"/>
        <v>0</v>
      </c>
    </row>
    <row r="20" spans="2:13">
      <c r="B20" s="92">
        <v>13</v>
      </c>
      <c r="C20" s="97" t="s">
        <v>34</v>
      </c>
      <c r="D20" s="98" t="s">
        <v>26</v>
      </c>
      <c r="F20" s="335"/>
      <c r="G20" s="336"/>
      <c r="H20" s="217"/>
      <c r="I20" s="194">
        <f t="shared" si="0"/>
        <v>0</v>
      </c>
      <c r="J20" s="335"/>
      <c r="K20" s="336"/>
      <c r="L20" s="216">
        <f t="shared" si="1"/>
        <v>0</v>
      </c>
      <c r="M20" s="186">
        <f t="shared" si="2"/>
        <v>0</v>
      </c>
    </row>
    <row r="21" spans="2:13">
      <c r="B21" s="92">
        <v>14</v>
      </c>
      <c r="C21" s="97" t="s">
        <v>34</v>
      </c>
      <c r="D21" s="98" t="s">
        <v>27</v>
      </c>
      <c r="F21" s="335"/>
      <c r="G21" s="336"/>
      <c r="H21" s="217"/>
      <c r="I21" s="194">
        <f t="shared" si="0"/>
        <v>0</v>
      </c>
      <c r="J21" s="335"/>
      <c r="K21" s="336"/>
      <c r="L21" s="216">
        <f t="shared" si="1"/>
        <v>0</v>
      </c>
      <c r="M21" s="186">
        <f t="shared" si="2"/>
        <v>0</v>
      </c>
    </row>
    <row r="22" spans="2:13">
      <c r="B22" s="92">
        <v>15</v>
      </c>
      <c r="C22" s="97" t="s">
        <v>35</v>
      </c>
      <c r="D22" s="98" t="s">
        <v>26</v>
      </c>
      <c r="F22" s="335"/>
      <c r="G22" s="336"/>
      <c r="H22" s="217"/>
      <c r="I22" s="194">
        <f t="shared" si="0"/>
        <v>0</v>
      </c>
      <c r="J22" s="335"/>
      <c r="K22" s="336"/>
      <c r="L22" s="216"/>
      <c r="M22" s="186">
        <f t="shared" si="2"/>
        <v>0</v>
      </c>
    </row>
    <row r="23" spans="2:13">
      <c r="B23" s="92">
        <v>16</v>
      </c>
      <c r="C23" s="97" t="s">
        <v>35</v>
      </c>
      <c r="D23" s="98" t="s">
        <v>36</v>
      </c>
      <c r="F23" s="335"/>
      <c r="G23" s="336"/>
      <c r="H23" s="217"/>
      <c r="I23" s="194">
        <f t="shared" si="0"/>
        <v>0</v>
      </c>
      <c r="J23" s="335"/>
      <c r="K23" s="336"/>
      <c r="L23" s="216"/>
      <c r="M23" s="186">
        <f t="shared" si="2"/>
        <v>0</v>
      </c>
    </row>
    <row r="24" spans="2:13">
      <c r="B24" s="92">
        <v>17</v>
      </c>
      <c r="C24" s="97" t="s">
        <v>37</v>
      </c>
      <c r="D24" s="98" t="s">
        <v>26</v>
      </c>
      <c r="F24" s="335"/>
      <c r="G24" s="336"/>
      <c r="H24" s="217"/>
      <c r="I24" s="194">
        <f t="shared" si="0"/>
        <v>0</v>
      </c>
      <c r="J24" s="335"/>
      <c r="K24" s="336"/>
      <c r="L24" s="216">
        <f t="shared" si="1"/>
        <v>0</v>
      </c>
      <c r="M24" s="186">
        <f t="shared" si="2"/>
        <v>0</v>
      </c>
    </row>
    <row r="25" spans="2:13">
      <c r="B25" s="92">
        <v>18</v>
      </c>
      <c r="C25" s="97" t="s">
        <v>37</v>
      </c>
      <c r="D25" s="98" t="s">
        <v>27</v>
      </c>
      <c r="F25" s="335"/>
      <c r="G25" s="336"/>
      <c r="H25" s="218"/>
      <c r="I25" s="194">
        <f t="shared" si="0"/>
        <v>0</v>
      </c>
      <c r="J25" s="335"/>
      <c r="K25" s="336"/>
      <c r="L25" s="216">
        <f t="shared" si="1"/>
        <v>0</v>
      </c>
      <c r="M25" s="186">
        <f t="shared" si="2"/>
        <v>0</v>
      </c>
    </row>
    <row r="26" spans="2:13" ht="15.75" thickBot="1">
      <c r="D26" s="98" t="s">
        <v>20</v>
      </c>
      <c r="F26" s="340">
        <f>SUM(F8:G25)</f>
        <v>0</v>
      </c>
      <c r="G26" s="341"/>
      <c r="H26" s="95"/>
      <c r="I26" s="161">
        <f>SUM(I8:I25)</f>
        <v>0</v>
      </c>
      <c r="J26" s="340">
        <f>SUM(J8:K25)</f>
        <v>0</v>
      </c>
      <c r="K26" s="341"/>
      <c r="L26" s="211">
        <f>SUM(L8:L25)</f>
        <v>0</v>
      </c>
      <c r="M26" s="186">
        <f t="shared" si="2"/>
        <v>0</v>
      </c>
    </row>
    <row r="27" spans="2:13" ht="15.75" thickTop="1"/>
    <row r="28" spans="2:13">
      <c r="B28" s="129" t="s">
        <v>38</v>
      </c>
      <c r="F28" s="338">
        <f>+F26/2</f>
        <v>0</v>
      </c>
      <c r="G28" s="339"/>
      <c r="I28" s="128">
        <f>+I26/2</f>
        <v>0</v>
      </c>
      <c r="J28" s="338">
        <f t="shared" ref="J28:L28" si="3">+J26/2</f>
        <v>0</v>
      </c>
      <c r="K28" s="339"/>
      <c r="L28" s="128">
        <f t="shared" si="3"/>
        <v>0</v>
      </c>
      <c r="M28" s="186">
        <f t="shared" si="2"/>
        <v>0</v>
      </c>
    </row>
    <row r="30" spans="2:13">
      <c r="M30" s="155"/>
    </row>
  </sheetData>
  <sheetProtection algorithmName="SHA-512" hashValue="QsPH8rxnWLN+4mOXBoYKieQ4SZc9gVIbwmSHYf5uysyB0GFZI8/KYP6VmPmJJEO07CSbw6d1QrwPtd+3MS6Pqw==" saltValue="xHv/4MGG2o04XARUklIzxA==" spinCount="100000" sheet="1" objects="1" scenarios="1"/>
  <mergeCells count="49">
    <mergeCell ref="J18:K18"/>
    <mergeCell ref="J19:K19"/>
    <mergeCell ref="F28:G28"/>
    <mergeCell ref="J28:K28"/>
    <mergeCell ref="J21:K21"/>
    <mergeCell ref="J22:K22"/>
    <mergeCell ref="J23:K23"/>
    <mergeCell ref="J24:K24"/>
    <mergeCell ref="J25:K25"/>
    <mergeCell ref="J26:K26"/>
    <mergeCell ref="F23:G23"/>
    <mergeCell ref="F24:G24"/>
    <mergeCell ref="F25:G25"/>
    <mergeCell ref="F26:G26"/>
    <mergeCell ref="F21:G21"/>
    <mergeCell ref="F22:G22"/>
    <mergeCell ref="J7:K7"/>
    <mergeCell ref="J8:K8"/>
    <mergeCell ref="J9:K9"/>
    <mergeCell ref="J10:K10"/>
    <mergeCell ref="J11:K11"/>
    <mergeCell ref="J12:K12"/>
    <mergeCell ref="F17:H17"/>
    <mergeCell ref="F18:H18"/>
    <mergeCell ref="F19:G19"/>
    <mergeCell ref="F20:G20"/>
    <mergeCell ref="F12:G12"/>
    <mergeCell ref="F13:G13"/>
    <mergeCell ref="F14:G14"/>
    <mergeCell ref="F15:G15"/>
    <mergeCell ref="F16:H16"/>
    <mergeCell ref="J13:K13"/>
    <mergeCell ref="J14:K14"/>
    <mergeCell ref="J20:K20"/>
    <mergeCell ref="J15:K15"/>
    <mergeCell ref="J16:K16"/>
    <mergeCell ref="J17:K17"/>
    <mergeCell ref="F7:G7"/>
    <mergeCell ref="F8:G8"/>
    <mergeCell ref="F9:G9"/>
    <mergeCell ref="F10:G10"/>
    <mergeCell ref="F11:G11"/>
    <mergeCell ref="B2:M2"/>
    <mergeCell ref="E5:E6"/>
    <mergeCell ref="F5:I6"/>
    <mergeCell ref="J5:L6"/>
    <mergeCell ref="M5:M6"/>
    <mergeCell ref="F4:J4"/>
    <mergeCell ref="L4:M4"/>
  </mergeCells>
  <printOptions horizontalCentered="1" verticalCentered="1"/>
  <pageMargins left="0" right="0" top="0" bottom="0" header="0" footer="0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>
    <tabColor indexed="60"/>
  </sheetPr>
  <dimension ref="A1:I52"/>
  <sheetViews>
    <sheetView showGridLines="0" view="pageBreakPreview" zoomScale="60" zoomScaleNormal="100" workbookViewId="0">
      <selection activeCell="G32" sqref="G32"/>
    </sheetView>
  </sheetViews>
  <sheetFormatPr baseColWidth="10" defaultColWidth="11.42578125" defaultRowHeight="15"/>
  <cols>
    <col min="1" max="1" width="15.140625" customWidth="1"/>
    <col min="2" max="2" width="15.85546875" customWidth="1"/>
    <col min="3" max="3" width="14" customWidth="1"/>
    <col min="4" max="4" width="12.42578125" customWidth="1"/>
    <col min="5" max="5" width="15.140625" customWidth="1"/>
    <col min="6" max="6" width="14.85546875" customWidth="1"/>
    <col min="7" max="7" width="18.7109375" customWidth="1"/>
    <col min="8" max="8" width="19" customWidth="1"/>
    <col min="9" max="9" width="2.7109375" customWidth="1"/>
  </cols>
  <sheetData>
    <row r="1" spans="1:8">
      <c r="A1" s="1"/>
      <c r="B1" s="1"/>
      <c r="C1" s="1"/>
      <c r="D1" s="1"/>
      <c r="E1" s="1"/>
      <c r="F1" s="1"/>
    </row>
    <row r="2" spans="1:8">
      <c r="A2" s="1"/>
      <c r="B2" s="1"/>
      <c r="C2" s="1"/>
      <c r="D2" s="1"/>
      <c r="E2" s="1"/>
      <c r="F2" s="1"/>
    </row>
    <row r="3" spans="1:8">
      <c r="A3" s="1"/>
      <c r="B3" s="1"/>
      <c r="C3" s="342" t="s">
        <v>179</v>
      </c>
      <c r="D3" s="342"/>
      <c r="E3" s="342"/>
      <c r="F3" s="342"/>
    </row>
    <row r="4" spans="1:8">
      <c r="A4" s="1"/>
      <c r="B4" s="1"/>
      <c r="C4" s="342"/>
      <c r="D4" s="342"/>
      <c r="E4" s="342"/>
      <c r="F4" s="342"/>
    </row>
    <row r="5" spans="1:8" ht="15" customHeight="1">
      <c r="A5" s="1"/>
      <c r="B5" s="1"/>
      <c r="C5" s="168"/>
      <c r="D5" s="168"/>
      <c r="E5" s="168"/>
      <c r="F5" s="168"/>
    </row>
    <row r="6" spans="1:8" ht="15" customHeight="1">
      <c r="A6" s="1"/>
      <c r="B6" s="1"/>
      <c r="C6" s="168"/>
      <c r="D6" s="168"/>
      <c r="E6" s="168"/>
      <c r="F6" s="168"/>
    </row>
    <row r="7" spans="1:8" ht="23.25">
      <c r="A7" s="3" t="s">
        <v>180</v>
      </c>
      <c r="B7" s="103"/>
      <c r="C7" s="1"/>
      <c r="D7" s="1"/>
      <c r="E7" s="1"/>
    </row>
    <row r="8" spans="1:8" ht="18">
      <c r="A8" s="5" t="s">
        <v>14</v>
      </c>
      <c r="B8" s="213" t="str">
        <f>'Café Fruta(1)'!G3</f>
        <v>2022-2023</v>
      </c>
      <c r="C8" s="1"/>
      <c r="D8" s="1"/>
      <c r="E8" s="1"/>
      <c r="F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 ht="15.75">
      <c r="A10" s="4" t="s">
        <v>61</v>
      </c>
      <c r="B10" s="104">
        <f>'Café Fruta(1)'!F4</f>
        <v>0</v>
      </c>
      <c r="C10" s="105"/>
      <c r="D10" s="105"/>
      <c r="E10" s="6" t="s">
        <v>105</v>
      </c>
      <c r="F10" s="156">
        <f>'Café Fruta(1)'!L4</f>
        <v>0</v>
      </c>
      <c r="G10" s="171" t="s">
        <v>106</v>
      </c>
      <c r="H10" s="222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293" t="s">
        <v>107</v>
      </c>
      <c r="B13" s="294"/>
      <c r="C13" s="297" t="s">
        <v>18</v>
      </c>
      <c r="D13" s="298"/>
      <c r="E13" s="297" t="s">
        <v>19</v>
      </c>
      <c r="F13" s="298"/>
      <c r="G13" s="297" t="s">
        <v>20</v>
      </c>
      <c r="H13" s="298"/>
    </row>
    <row r="14" spans="1:8">
      <c r="A14" s="295"/>
      <c r="B14" s="296"/>
      <c r="C14" s="299"/>
      <c r="D14" s="300"/>
      <c r="E14" s="299"/>
      <c r="F14" s="300"/>
      <c r="G14" s="299"/>
      <c r="H14" s="300"/>
    </row>
    <row r="15" spans="1:8">
      <c r="A15" s="301" t="s">
        <v>181</v>
      </c>
      <c r="B15" s="302"/>
      <c r="C15" s="345">
        <f>'Café Fruta-Bellota'!I28</f>
        <v>0</v>
      </c>
      <c r="D15" s="346"/>
      <c r="E15" s="345">
        <f>'Café Fruta-Bellota'!L28</f>
        <v>0</v>
      </c>
      <c r="F15" s="346"/>
      <c r="G15" s="343">
        <f>E15+C15</f>
        <v>0</v>
      </c>
      <c r="H15" s="344"/>
    </row>
    <row r="16" spans="1:8">
      <c r="A16" s="1"/>
      <c r="B16" s="1"/>
      <c r="C16" s="1"/>
      <c r="D16" s="1"/>
      <c r="E16" s="9"/>
      <c r="F16" s="1"/>
      <c r="G16" s="1"/>
      <c r="H16" s="1"/>
    </row>
    <row r="17" spans="1:8">
      <c r="A17" s="1" t="s">
        <v>182</v>
      </c>
      <c r="B17" s="1"/>
      <c r="C17" s="1"/>
      <c r="D17" s="1"/>
      <c r="E17" s="106">
        <f>IF(G15=0,0,((E28/G15)/2.173913)*100)</f>
        <v>0</v>
      </c>
      <c r="F17" s="105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93"/>
      <c r="G19" s="93"/>
      <c r="H19" s="7"/>
    </row>
    <row r="20" spans="1:8">
      <c r="A20" s="1"/>
      <c r="B20" s="1"/>
      <c r="C20" s="1"/>
      <c r="D20" s="1"/>
      <c r="E20" s="1"/>
      <c r="F20" s="7"/>
      <c r="G20" s="7"/>
      <c r="H20" s="107"/>
    </row>
    <row r="21" spans="1:8" ht="39">
      <c r="A21" s="17" t="s">
        <v>115</v>
      </c>
      <c r="B21" s="18"/>
      <c r="C21" s="18"/>
      <c r="D21" s="19" t="s">
        <v>116</v>
      </c>
      <c r="E21" s="20" t="s">
        <v>117</v>
      </c>
      <c r="F21" s="108" t="s">
        <v>118</v>
      </c>
      <c r="G21" s="108" t="s">
        <v>119</v>
      </c>
      <c r="H21" s="21" t="s">
        <v>54</v>
      </c>
    </row>
    <row r="22" spans="1:8">
      <c r="A22" s="22" t="s">
        <v>183</v>
      </c>
      <c r="B22" s="23"/>
      <c r="C22" s="24"/>
      <c r="D22" s="25" t="str">
        <f>IF(E22="","",E22/$E$28%)</f>
        <v/>
      </c>
      <c r="E22" s="26"/>
      <c r="F22" s="27"/>
      <c r="G22" s="28">
        <f>IF(H22=0,0,H22/E22)</f>
        <v>0</v>
      </c>
      <c r="H22" s="109"/>
    </row>
    <row r="23" spans="1:8">
      <c r="A23" s="22" t="s">
        <v>184</v>
      </c>
      <c r="B23" s="23"/>
      <c r="C23" s="24"/>
      <c r="D23" s="25" t="str">
        <f>IF(E23="","",E23/$E$28%)</f>
        <v/>
      </c>
      <c r="E23" s="26"/>
      <c r="F23" s="202"/>
      <c r="G23" s="28">
        <f t="shared" ref="G23:G29" si="0">IF(H23=0,0,H23/E23)</f>
        <v>0</v>
      </c>
      <c r="H23" s="109"/>
    </row>
    <row r="24" spans="1:8">
      <c r="A24" s="22" t="s">
        <v>185</v>
      </c>
      <c r="B24" s="23"/>
      <c r="C24" s="24"/>
      <c r="D24" s="25" t="str">
        <f>IF(E24="","",E24/$E$28%)</f>
        <v/>
      </c>
      <c r="E24" s="26"/>
      <c r="F24" s="27"/>
      <c r="G24" s="28">
        <f t="shared" si="0"/>
        <v>0</v>
      </c>
      <c r="H24" s="109"/>
    </row>
    <row r="25" spans="1:8">
      <c r="A25" s="311" t="s">
        <v>186</v>
      </c>
      <c r="B25" s="312"/>
      <c r="C25" s="313"/>
      <c r="D25" s="25"/>
      <c r="E25" s="26"/>
      <c r="F25" s="27"/>
      <c r="G25" s="28"/>
      <c r="H25" s="109"/>
    </row>
    <row r="26" spans="1:8">
      <c r="A26" s="311" t="s">
        <v>187</v>
      </c>
      <c r="B26" s="312"/>
      <c r="C26" s="313"/>
      <c r="D26" s="25"/>
      <c r="E26" s="26"/>
      <c r="F26" s="27"/>
      <c r="G26" s="28"/>
      <c r="H26" s="109"/>
    </row>
    <row r="27" spans="1:8">
      <c r="A27" s="311" t="s">
        <v>188</v>
      </c>
      <c r="B27" s="312"/>
      <c r="C27" s="313"/>
      <c r="D27" s="25" t="str">
        <f>IF(E27="","",E27/$E$28%)</f>
        <v/>
      </c>
      <c r="E27" s="26"/>
      <c r="F27" s="27"/>
      <c r="G27" s="28">
        <f t="shared" si="0"/>
        <v>0</v>
      </c>
      <c r="H27" s="109"/>
    </row>
    <row r="28" spans="1:8">
      <c r="A28" s="17" t="s">
        <v>189</v>
      </c>
      <c r="B28" s="31"/>
      <c r="C28" s="32"/>
      <c r="D28" s="33">
        <f>SUM(D22:D27)</f>
        <v>0</v>
      </c>
      <c r="E28" s="33">
        <f>SUM(E22:E27)</f>
        <v>0</v>
      </c>
      <c r="F28" s="34"/>
      <c r="G28" s="28"/>
      <c r="H28" s="33">
        <f>SUM(H22:H27)</f>
        <v>0</v>
      </c>
    </row>
    <row r="29" spans="1:8">
      <c r="A29" s="1"/>
      <c r="B29" s="1"/>
      <c r="C29" s="1"/>
      <c r="D29" s="1"/>
      <c r="E29" s="1"/>
      <c r="F29" s="1"/>
      <c r="G29" s="110">
        <f t="shared" si="0"/>
        <v>0</v>
      </c>
      <c r="H29" s="111"/>
    </row>
    <row r="30" spans="1:8">
      <c r="A30" s="4" t="s">
        <v>126</v>
      </c>
      <c r="B30" s="1"/>
      <c r="C30" s="1"/>
      <c r="D30" s="1"/>
      <c r="E30" s="1"/>
      <c r="F30" s="1"/>
      <c r="G30" s="1"/>
      <c r="H30" s="1"/>
    </row>
    <row r="31" spans="1:8">
      <c r="A31" s="4"/>
      <c r="B31" s="1"/>
      <c r="C31" s="1"/>
      <c r="D31" s="1"/>
      <c r="E31" s="1"/>
      <c r="F31" s="1"/>
      <c r="G31" s="1"/>
      <c r="H31" s="1"/>
    </row>
    <row r="32" spans="1:8">
      <c r="A32" s="1" t="s">
        <v>190</v>
      </c>
      <c r="B32" s="1"/>
      <c r="C32" s="1"/>
      <c r="D32" s="1"/>
      <c r="E32" s="36" t="str">
        <f>IF(E28=0," ",G32/E28)</f>
        <v xml:space="preserve"> </v>
      </c>
      <c r="F32" s="1" t="s">
        <v>191</v>
      </c>
      <c r="G32" s="112"/>
      <c r="H32" s="1"/>
    </row>
    <row r="33" spans="1:9">
      <c r="A33" s="1" t="s">
        <v>192</v>
      </c>
      <c r="B33" s="1"/>
      <c r="C33" s="1"/>
      <c r="D33" s="1"/>
      <c r="F33" s="1"/>
      <c r="G33" s="113">
        <f>H28-G32</f>
        <v>0</v>
      </c>
      <c r="H33" s="1"/>
    </row>
    <row r="34" spans="1:9">
      <c r="A34" s="1" t="s">
        <v>193</v>
      </c>
      <c r="B34" s="1"/>
      <c r="C34" s="1"/>
      <c r="D34" s="1"/>
      <c r="E34" s="1"/>
      <c r="F34" s="1"/>
      <c r="G34" s="36">
        <f>G33*9%</f>
        <v>0</v>
      </c>
      <c r="H34" s="1"/>
    </row>
    <row r="35" spans="1:9">
      <c r="A35" s="1" t="s">
        <v>194</v>
      </c>
      <c r="B35" s="1"/>
      <c r="C35" s="1"/>
      <c r="D35" s="1"/>
      <c r="E35" s="1"/>
      <c r="F35" s="1"/>
      <c r="G35" s="1"/>
      <c r="H35" s="36">
        <f>G34+G32</f>
        <v>0</v>
      </c>
    </row>
    <row r="36" spans="1:9">
      <c r="A36" s="1" t="s">
        <v>195</v>
      </c>
      <c r="B36" s="1"/>
      <c r="C36" s="1"/>
      <c r="D36" s="1"/>
      <c r="E36" s="1"/>
      <c r="F36" s="1"/>
      <c r="G36" s="1"/>
      <c r="H36" s="36">
        <f>H28-H35</f>
        <v>0</v>
      </c>
    </row>
    <row r="37" spans="1:9">
      <c r="A37" s="1" t="s">
        <v>196</v>
      </c>
      <c r="B37" s="1"/>
      <c r="C37" s="1"/>
      <c r="D37" s="1"/>
      <c r="E37" s="1"/>
      <c r="F37" s="1"/>
      <c r="G37" s="1"/>
      <c r="H37" s="36">
        <f>IF(E28=0,0,IF(E17&gt;H10,0,(((H10-E17)*(H36/E28))*G15)))</f>
        <v>0</v>
      </c>
    </row>
    <row r="38" spans="1:9">
      <c r="A38" s="1" t="s">
        <v>197</v>
      </c>
      <c r="B38" s="1"/>
      <c r="C38" s="1"/>
      <c r="D38" s="1"/>
      <c r="E38" s="1"/>
      <c r="F38" s="1"/>
      <c r="G38" s="1"/>
      <c r="H38" s="36">
        <f>H36+H37</f>
        <v>0</v>
      </c>
    </row>
    <row r="39" spans="1:9">
      <c r="A39" s="1"/>
      <c r="B39" s="1"/>
      <c r="C39" s="1"/>
      <c r="D39" s="1"/>
      <c r="E39" s="1"/>
      <c r="F39" s="1"/>
      <c r="G39" s="1"/>
      <c r="H39" s="1"/>
    </row>
    <row r="40" spans="1:9">
      <c r="A40" s="1"/>
      <c r="B40" s="1"/>
      <c r="C40" s="1"/>
      <c r="D40" s="1"/>
      <c r="E40" s="1"/>
      <c r="F40" s="1"/>
      <c r="G40" s="1"/>
      <c r="H40" s="1"/>
    </row>
    <row r="41" spans="1:9">
      <c r="A41" s="1"/>
      <c r="B41" s="1"/>
      <c r="C41" s="1"/>
      <c r="D41" s="1"/>
      <c r="E41" s="1"/>
      <c r="F41" s="1"/>
      <c r="G41" s="1"/>
      <c r="H41" s="1"/>
    </row>
    <row r="42" spans="1:9">
      <c r="A42" s="1"/>
      <c r="B42" s="1"/>
      <c r="C42" s="1"/>
      <c r="D42" s="1"/>
      <c r="E42" s="1"/>
      <c r="F42" s="1"/>
      <c r="G42" s="1"/>
      <c r="H42" s="1"/>
    </row>
    <row r="43" spans="1:9">
      <c r="A43" s="1"/>
      <c r="B43" s="1"/>
      <c r="C43" s="1"/>
      <c r="D43" s="1"/>
      <c r="E43" s="1"/>
      <c r="F43" s="1"/>
      <c r="G43" s="1"/>
      <c r="H43" s="1"/>
    </row>
    <row r="44" spans="1:9">
      <c r="A44" s="1"/>
      <c r="B44" s="1"/>
      <c r="C44" s="1"/>
      <c r="D44" s="1"/>
      <c r="E44" s="1"/>
      <c r="F44" s="1"/>
      <c r="G44" s="1"/>
      <c r="H44" s="1"/>
    </row>
    <row r="45" spans="1:9">
      <c r="A45" s="1"/>
      <c r="B45" s="1"/>
      <c r="C45" s="1"/>
      <c r="D45" s="1"/>
      <c r="E45" s="1"/>
      <c r="F45" s="1"/>
      <c r="G45" s="1"/>
      <c r="H45" s="1"/>
    </row>
    <row r="46" spans="1:9">
      <c r="A46" s="1"/>
      <c r="B46" s="1"/>
      <c r="C46" s="1"/>
      <c r="D46" s="1"/>
      <c r="E46" s="1"/>
      <c r="F46" s="1"/>
      <c r="G46" s="1"/>
      <c r="H46" s="1"/>
    </row>
    <row r="47" spans="1:9">
      <c r="A47" s="1"/>
      <c r="B47" s="1"/>
      <c r="C47" s="1"/>
      <c r="D47" s="1"/>
      <c r="E47" s="1"/>
      <c r="F47" s="1"/>
      <c r="G47" s="1"/>
      <c r="H47" s="1"/>
    </row>
    <row r="48" spans="1:9" ht="17.25">
      <c r="A48" s="50" t="s">
        <v>198</v>
      </c>
      <c r="B48" s="51"/>
      <c r="C48" s="52" t="s">
        <v>199</v>
      </c>
      <c r="D48" s="52"/>
      <c r="E48" s="52"/>
      <c r="F48" s="310" t="s">
        <v>162</v>
      </c>
      <c r="G48" s="310"/>
      <c r="H48" s="205" t="s">
        <v>163</v>
      </c>
      <c r="I48" s="207"/>
    </row>
    <row r="51" spans="2:6">
      <c r="B51" s="350" t="s">
        <v>200</v>
      </c>
      <c r="C51" s="351"/>
      <c r="D51" s="351"/>
      <c r="E51" s="351"/>
      <c r="F51" s="352"/>
    </row>
    <row r="52" spans="2:6">
      <c r="B52" s="347" t="s">
        <v>201</v>
      </c>
      <c r="C52" s="348"/>
      <c r="D52" s="348"/>
      <c r="E52" s="348"/>
      <c r="F52" s="349"/>
    </row>
  </sheetData>
  <sheetProtection algorithmName="SHA-512" hashValue="cDKC7tXNC3Z45lc2SjXFMNFVVUMgihEEfRAV9BgYEuvv16DVFxk3kdE2+wUZf496jelG04V9+I5TZzdH2gXRLA==" saltValue="2XSkDLWz5sCww8dsJiVkFQ==" spinCount="100000" sheet="1" objects="1" scenarios="1"/>
  <mergeCells count="15">
    <mergeCell ref="G15:H15"/>
    <mergeCell ref="A15:B15"/>
    <mergeCell ref="C15:D15"/>
    <mergeCell ref="E15:F15"/>
    <mergeCell ref="B52:F52"/>
    <mergeCell ref="A25:C25"/>
    <mergeCell ref="A26:C26"/>
    <mergeCell ref="A27:C27"/>
    <mergeCell ref="F48:G48"/>
    <mergeCell ref="B51:F51"/>
    <mergeCell ref="C3:F4"/>
    <mergeCell ref="A13:B14"/>
    <mergeCell ref="C13:D14"/>
    <mergeCell ref="E13:F14"/>
    <mergeCell ref="G13:H14"/>
  </mergeCells>
  <phoneticPr fontId="19" type="noConversion"/>
  <pageMargins left="0.75" right="0.75" top="1" bottom="1" header="0" footer="0"/>
  <pageSetup paperSize="9" scale="6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74209EFC3D6547A37845125700E116" ma:contentTypeVersion="11" ma:contentTypeDescription="Crear nuevo documento." ma:contentTypeScope="" ma:versionID="b9597741995ebea94b8490616db71040">
  <xsd:schema xmlns:xsd="http://www.w3.org/2001/XMLSchema" xmlns:xs="http://www.w3.org/2001/XMLSchema" xmlns:p="http://schemas.microsoft.com/office/2006/metadata/properties" xmlns:ns3="c7b55d6d-249f-4b0a-b668-949667a218b6" xmlns:ns4="f7997d4f-8488-4b0b-b485-51e5b5e07eda" targetNamespace="http://schemas.microsoft.com/office/2006/metadata/properties" ma:root="true" ma:fieldsID="b032b8d28741d53e2d4706d906d04e72" ns3:_="" ns4:_="">
    <xsd:import namespace="c7b55d6d-249f-4b0a-b668-949667a218b6"/>
    <xsd:import namespace="f7997d4f-8488-4b0b-b485-51e5b5e07e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55d6d-249f-4b0a-b668-949667a21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97d4f-8488-4b0b-b485-51e5b5e07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80CC83-9AAA-453D-9FAE-3D6C0F15C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4FF113-A117-41C3-82E0-C5924534A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55d6d-249f-4b0a-b668-949667a218b6"/>
    <ds:schemaRef ds:uri="f7997d4f-8488-4b0b-b485-51e5b5e07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7D06D9-9402-4782-9900-5A9072E2B2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Instrucciones</vt:lpstr>
      <vt:lpstr>Café Fruta(1)</vt:lpstr>
      <vt:lpstr>Ventas Export.(2)</vt:lpstr>
      <vt:lpstr>Ventas Cons.Nac.(3)</vt:lpstr>
      <vt:lpstr>Gastos(4)</vt:lpstr>
      <vt:lpstr>Liq.Final</vt:lpstr>
      <vt:lpstr>Gastos - BELLOTA</vt:lpstr>
      <vt:lpstr>Café Fruta-Bellota</vt:lpstr>
      <vt:lpstr>BELLOTA</vt:lpstr>
      <vt:lpstr>Liq.Provi.</vt:lpstr>
      <vt:lpstr>BELLOTA!Área_de_impresión</vt:lpstr>
      <vt:lpstr>'Gastos - BELLOTA'!Área_de_impresión</vt:lpstr>
      <vt:lpstr>'Gastos(4)'!Área_de_impresión</vt:lpstr>
      <vt:lpstr>Liq.Final!Área_de_impresión</vt:lpstr>
      <vt:lpstr>Liq.Provi.!Área_de_impresión</vt:lpstr>
      <vt:lpstr>'Ventas Cons.Nac.(3)'!Área_de_impresión</vt:lpstr>
      <vt:lpstr>'Ventas Export.(2)'!Área_de_impresión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HugoCa</dc:creator>
  <cp:keywords/>
  <dc:description/>
  <cp:lastModifiedBy>Karen Araya Campos</cp:lastModifiedBy>
  <cp:revision/>
  <cp:lastPrinted>2023-06-09T15:11:24Z</cp:lastPrinted>
  <dcterms:created xsi:type="dcterms:W3CDTF">2012-03-22T01:12:32Z</dcterms:created>
  <dcterms:modified xsi:type="dcterms:W3CDTF">2023-07-05T14:16:32Z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0x0101002174209EFC3D6547A37845125700E116</vt:lpwstr>
  </property>
</Properties>
</file>